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drawings/drawing3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 codeName="{DD97A8EA-9A9A-E61F-A557-7D5A7D7259CE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https://duininckcompanies.sharepoint.com/sites/Prinsco/Eng/Pipe Documents/Calculators/Ret-Det Calculator/"/>
    </mc:Choice>
  </mc:AlternateContent>
  <xr:revisionPtr revIDLastSave="2" documentId="8_{017BA472-8A23-4903-BEDC-20B847A81379}" xr6:coauthVersionLast="47" xr6:coauthVersionMax="47" xr10:uidLastSave="{B7748F87-2BCA-4056-95F1-0D13A5CEE75E}"/>
  <workbookProtection workbookAlgorithmName="SHA-512" workbookHashValue="Z+83f/Fv16JZe9bD51AUGaADBPJwnlHJlX/pNRl56CC2v+y6KHvF/5ZqAM0NLcuCwA2YjcQVGk3frHCH8piBFw==" workbookSaltValue="2Uk3z20F/o6UvQuU0Ig6wA==" workbookSpinCount="100000" lockStructure="1"/>
  <bookViews>
    <workbookView xWindow="-1365" yWindow="-16320" windowWidth="29040" windowHeight="15720" xr2:uid="{00000000-000D-0000-FFFF-FFFF00000000}"/>
  </bookViews>
  <sheets>
    <sheet name="Calculator" sheetId="5" r:id="rId1"/>
    <sheet name="System Calculations" sheetId="3" state="hidden" r:id="rId2"/>
    <sheet name="Tables" sheetId="2" state="hidden" r:id="rId3"/>
    <sheet name="Pics" sheetId="7" state="hidden" r:id="rId4"/>
  </sheets>
  <definedNames>
    <definedName name="DET">Pics!$D$8</definedName>
    <definedName name="FDMDS">Pics!$B$2</definedName>
    <definedName name="FDMSS">Pics!$B$1</definedName>
    <definedName name="Fittings">'System Calculations'!#REF!</definedName>
    <definedName name="FNM">Pics!$B$5</definedName>
    <definedName name="FSMDS">Pics!$B$4</definedName>
    <definedName name="FSMSS">Pics!$B$3</definedName>
    <definedName name="HeaderConfiguration">'System Calculations'!$D$4:$D$6</definedName>
    <definedName name="Perforated">'System Calculations'!$E$4:$E$5</definedName>
    <definedName name="Picture">INDIRECT('System Calculations'!$B$67)</definedName>
    <definedName name="Picture2">INDIRECT('System Calculations'!$B$68)</definedName>
    <definedName name="PipeSizes">'System Calculations'!$C$4:$C$12</definedName>
    <definedName name="_xlnm.Print_Area" localSheetId="0">Calculator!$F$1:$BD$46</definedName>
    <definedName name="Profile">'System Calculations'!$G$4:$G$5</definedName>
    <definedName name="RET">Pics!$D$9</definedName>
    <definedName name="State">'System Calculations'!$P$4:$P$52</definedName>
    <definedName name="System">'System Calculations'!#REF!</definedName>
    <definedName name="YesNo">'System Calculations'!$F$4:$F$5</definedName>
    <definedName name="Z_907EC655_306C_4FA9_B4FE_B8C798D6276E_.wvu.PrintArea" localSheetId="0" hidden="1">Calculator!$F$1:$BD$46</definedName>
  </definedNames>
  <calcPr calcId="191028"/>
  <customWorkbookViews>
    <customWorkbookView name="HI" guid="{907EC655-306C-4FA9-B4FE-B8C798D6276E}" xWindow="8" yWindow="17" windowWidth="1576" windowHeight="869" activeSheetId="5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O14" i="2" l="1"/>
  <c r="O13" i="2"/>
  <c r="O11" i="2"/>
  <c r="O12" i="2"/>
  <c r="M6" i="2"/>
  <c r="M7" i="2"/>
  <c r="O10" i="2"/>
  <c r="M10" i="2"/>
  <c r="M13" i="2"/>
  <c r="L11" i="2"/>
  <c r="M11" i="2"/>
  <c r="O9" i="2"/>
  <c r="O8" i="2"/>
  <c r="L8" i="2"/>
  <c r="M8" i="2"/>
  <c r="M14" i="2" l="1"/>
  <c r="L14" i="2"/>
  <c r="M12" i="2"/>
  <c r="L12" i="2"/>
  <c r="K14" i="2"/>
  <c r="K13" i="2"/>
  <c r="K12" i="2"/>
  <c r="K10" i="2"/>
  <c r="K8" i="2"/>
  <c r="K7" i="2"/>
  <c r="K6" i="2"/>
  <c r="L9" i="2" l="1"/>
  <c r="M9" i="2"/>
  <c r="K11" i="2" l="1"/>
  <c r="K9" i="2"/>
  <c r="L7" i="2"/>
  <c r="L6" i="2"/>
  <c r="L10" i="2"/>
  <c r="L13" i="2" l="1"/>
  <c r="G6" i="2"/>
  <c r="G7" i="2"/>
  <c r="G8" i="2"/>
  <c r="G9" i="2"/>
  <c r="G10" i="2"/>
  <c r="G11" i="2"/>
  <c r="G12" i="2"/>
  <c r="G13" i="2"/>
  <c r="G14" i="2"/>
  <c r="E22" i="3" l="1"/>
  <c r="C22" i="3"/>
  <c r="Q25" i="3" s="1"/>
  <c r="Q17" i="3" l="1"/>
  <c r="C47" i="3" s="1"/>
  <c r="P41" i="3" s="1"/>
  <c r="E48" i="3"/>
  <c r="C48" i="3"/>
  <c r="E21" i="3"/>
  <c r="C21" i="3"/>
  <c r="C16" i="3"/>
  <c r="C20" i="3"/>
  <c r="N18" i="3" l="1"/>
  <c r="N19" i="3" s="1"/>
  <c r="H19" i="3" s="1"/>
  <c r="N36" i="5"/>
  <c r="AZ41" i="5"/>
  <c r="N34" i="5"/>
  <c r="R41" i="5"/>
  <c r="K41" i="5"/>
  <c r="AO41" i="5"/>
  <c r="Z41" i="5"/>
  <c r="AH41" i="5"/>
  <c r="C56" i="3"/>
  <c r="C55" i="3"/>
  <c r="C30" i="3"/>
  <c r="E30" i="3" s="1"/>
  <c r="AV13" i="5"/>
  <c r="AO13" i="5"/>
  <c r="AE15" i="5"/>
  <c r="V15" i="5"/>
  <c r="V13" i="5"/>
  <c r="M17" i="5"/>
  <c r="C28" i="3"/>
  <c r="C51" i="3" s="1"/>
  <c r="C26" i="3"/>
  <c r="C29" i="3"/>
  <c r="C52" i="3" s="1"/>
  <c r="I9" i="3"/>
  <c r="M15" i="5"/>
  <c r="C25" i="3"/>
  <c r="E25" i="3" s="1"/>
  <c r="I10" i="3"/>
  <c r="I8" i="3"/>
  <c r="I7" i="3"/>
  <c r="I4" i="3"/>
  <c r="I6" i="3"/>
  <c r="I12" i="3"/>
  <c r="I11" i="3"/>
  <c r="I5" i="3"/>
  <c r="C57" i="3" l="1"/>
  <c r="C23" i="3" s="1"/>
  <c r="E55" i="3"/>
  <c r="E56" i="3"/>
  <c r="C27" i="3"/>
  <c r="E27" i="3" s="1"/>
  <c r="E52" i="3"/>
  <c r="E29" i="3"/>
  <c r="E26" i="3"/>
  <c r="E51" i="3"/>
  <c r="E28" i="3"/>
  <c r="N25" i="3" l="1"/>
  <c r="C42" i="3" s="1"/>
  <c r="N23" i="3"/>
  <c r="Q23" i="3" s="1"/>
  <c r="Q26" i="3"/>
  <c r="Q27" i="3" s="1"/>
  <c r="C38" i="3" l="1"/>
  <c r="P34" i="3" s="1"/>
  <c r="E23" i="3"/>
  <c r="C43" i="3"/>
  <c r="C24" i="3"/>
  <c r="C19" i="3"/>
  <c r="C18" i="3"/>
  <c r="C17" i="3"/>
  <c r="N24" i="3" l="1"/>
  <c r="K17" i="3"/>
  <c r="K18" i="3" s="1"/>
  <c r="H17" i="3" s="1"/>
  <c r="K23" i="3"/>
  <c r="K19" i="3"/>
  <c r="N17" i="3"/>
  <c r="K24" i="3"/>
  <c r="E43" i="3"/>
  <c r="P37" i="3" s="1"/>
  <c r="C36" i="3"/>
  <c r="C44" i="3"/>
  <c r="C41" i="3"/>
  <c r="C46" i="3"/>
  <c r="E46" i="3" s="1"/>
  <c r="P40" i="3" s="1"/>
  <c r="C45" i="3"/>
  <c r="B68" i="3"/>
  <c r="C49" i="3"/>
  <c r="B67" i="3"/>
  <c r="Q24" i="3" l="1"/>
  <c r="Q28" i="3" s="1"/>
  <c r="H23" i="3"/>
  <c r="C32" i="3" s="1"/>
  <c r="K20" i="3"/>
  <c r="H18" i="3" s="1"/>
  <c r="H24" i="3" s="1"/>
  <c r="E47" i="3"/>
  <c r="E45" i="3"/>
  <c r="P39" i="3" s="1"/>
  <c r="E36" i="3"/>
  <c r="P32" i="3" s="1"/>
  <c r="E41" i="3"/>
  <c r="P35" i="3" s="1"/>
  <c r="E44" i="3"/>
  <c r="P38" i="3" s="1"/>
  <c r="C35" i="3"/>
  <c r="E35" i="3" s="1"/>
  <c r="P31" i="3" s="1"/>
  <c r="C37" i="3"/>
  <c r="H25" i="3" l="1"/>
  <c r="H26" i="3" s="1"/>
  <c r="E37" i="3"/>
  <c r="P33" i="3" s="1"/>
  <c r="E57" i="3"/>
  <c r="H27" i="3" l="1"/>
  <c r="E42" i="3"/>
  <c r="P36" i="3" s="1"/>
  <c r="E32" i="3" l="1"/>
  <c r="X41" i="5" s="1"/>
  <c r="E38" i="3"/>
  <c r="C60" i="3"/>
  <c r="C63" i="3" s="1"/>
  <c r="C64" i="3" l="1"/>
  <c r="E63" i="3"/>
  <c r="C40" i="3"/>
  <c r="H28" i="3"/>
  <c r="C39" i="3"/>
  <c r="AW41" i="5" l="1"/>
  <c r="E40" i="3"/>
  <c r="AM41" i="5" s="1"/>
  <c r="E39" i="3"/>
  <c r="I41" i="5" s="1"/>
  <c r="C33" i="3"/>
  <c r="E33" i="3" s="1"/>
  <c r="P41" i="5" s="1"/>
  <c r="C34" i="3"/>
  <c r="E34" i="3" s="1"/>
  <c r="AE41" i="5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tc={34E41E59-7EB1-4371-B78B-CA10C8C26523}</author>
    <author>tc={13B92388-A4EA-4D77-8764-9B681B3E1B56}</author>
    <author>tc={0B79AC03-AA23-465C-AF63-EB2FAD23CD0A}</author>
    <author>tc={9CC63746-5B15-42AA-8747-8DFD51230B18}</author>
    <author>tc={A3C2469B-2413-4BA6-82AD-322773FA2BB8}</author>
    <author>tc={166E28E5-F251-4CFF-A33E-CCE360E1EED3}</author>
    <author>tc={28D6EA42-B019-44D6-A1D5-537114294B82}</author>
  </authors>
  <commentList>
    <comment ref="C15" authorId="0" shapeId="0" xr:uid="{34E41E59-7EB1-4371-B78B-CA10C8C26523}">
      <text>
        <t>[Threaded comment]
Your version of Excel allows you to read this threaded comment; however, any edits to it will get removed if the file is opened in a newer version of Excel. Learn more: https://go.microsoft.com/fwlink/?linkid=870924
Comment:
    This column is always standard, and calculated to be in std units if the inputs on the front are in metric. Calculations therefore did not change here.</t>
      </text>
    </comment>
    <comment ref="G15" authorId="1" shapeId="0" xr:uid="{13B92388-A4EA-4D77-8764-9B681B3E1B56}">
      <text>
        <t>[Threaded comment]
Your version of Excel allows you to read this threaded comment; however, any edits to it will get removed if the file is opened in a newer version of Excel. Learn more: https://go.microsoft.com/fwlink/?linkid=870924
Comment:
    Used to have MW and integrity tee pipe option as well, but now we consolidate all to this profile</t>
      </text>
    </comment>
    <comment ref="Q23" authorId="2" shapeId="0" xr:uid="{0B79AC03-AA23-465C-AF63-EB2FAD23CD0A}">
      <text>
        <t>[Threaded comment]
Your version of Excel allows you to read this threaded comment; however, any edits to it will get removed if the file is opened in a newer version of Excel. Learn more: https://go.microsoft.com/fwlink/?linkid=870924
Comment:
    currently there is additional stone incorporated into the trench length and width both. Could make option for seperate additions, but TW thinks this is fine for now.</t>
      </text>
    </comment>
    <comment ref="Q25" authorId="3" shapeId="0" xr:uid="{9CC63746-5B15-42AA-8747-8DFD51230B18}">
      <text>
        <t>[Threaded comment]
Your version of Excel allows you to read this threaded comment; however, any edits to it will get removed if the file is opened in a newer version of Excel. Learn more: https://go.microsoft.com/fwlink/?linkid=870924
Comment:
    got rid of additional 6" stone</t>
      </text>
    </comment>
    <comment ref="C43" authorId="4" shapeId="0" xr:uid="{A3C2469B-2413-4BA6-82AD-322773FA2BB8}">
      <text>
        <t>[Threaded comment]
Your version of Excel allows you to read this threaded comment; however, any edits to it will get removed if the file is opened in a newer version of Excel. Learn more: https://go.microsoft.com/fwlink/?linkid=870924
Comment:
    removed extra 6" on top here, image now reflects this</t>
      </text>
    </comment>
    <comment ref="C48" authorId="5" shapeId="0" xr:uid="{166E28E5-F251-4CFF-A33E-CCE360E1EED3}">
      <text>
        <t>[Threaded comment]
Your version of Excel allows you to read this threaded comment; however, any edits to it will get removed if the file is opened in a newer version of Excel. Learn more: https://go.microsoft.com/fwlink/?linkid=870924
Comment:
    logic is a bit confusing but TW confirmed it should be fine</t>
      </text>
    </comment>
    <comment ref="C52" authorId="6" shapeId="0" xr:uid="{28D6EA42-B019-44D6-A1D5-537114294B82}">
      <text>
        <t>[Threaded comment]
Your version of Excel allows you to read this threaded comment; however, any edits to it will get removed if the file is opened in a newer version of Excel. Learn more: https://go.microsoft.com/fwlink/?linkid=870924
Comment:
    Added Max statement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Josh Johnson</author>
    <author>tc={5B0B0811-70BB-4A1B-A8A2-B2C41AE09849}</author>
    <author>tc={E544504C-E7BE-4A59-BA6B-ACAF9100D944}</author>
    <author>tc={398D94F0-3082-45D8-90B5-B4A1D1F2312B}</author>
    <author>tc={F70BE57B-85B2-44F7-B2D7-E4C7E4E5962A}</author>
    <author>tc={A68091BD-D486-4EDA-875F-1EC0CFAC85AB}</author>
    <author>tc={40CAC35E-53FE-48D7-B62E-18030B9FDCC5}</author>
    <author>tc={9F36A1B0-9719-4B56-A4F4-B8F706CD60CE}</author>
    <author>tc={C3D51BE8-7332-4DA9-B5BE-FD3369AE250E}</author>
    <author>tc={F31FEA58-8B46-49EB-A244-62ACF7E525AA}</author>
    <author>tc={610D7675-0B03-4F73-8719-9853BCD0015C}</author>
  </authors>
  <commentList>
    <comment ref="D5" authorId="0" shapeId="0" xr:uid="{00000000-0006-0000-0200-000001000000}">
      <text>
        <r>
          <rPr>
            <b/>
            <sz val="8"/>
            <color indexed="81"/>
            <rFont val="Tahoma"/>
            <family val="2"/>
          </rPr>
          <t>Josh Johnson:</t>
        </r>
        <r>
          <rPr>
            <sz val="8"/>
            <color indexed="81"/>
            <rFont val="Tahoma"/>
            <family val="2"/>
          </rPr>
          <t xml:space="preserve">
Inside Diameter of Pipe</t>
        </r>
      </text>
    </comment>
    <comment ref="E5" authorId="0" shapeId="0" xr:uid="{00000000-0006-0000-0200-000002000000}">
      <text>
        <r>
          <rPr>
            <b/>
            <sz val="8"/>
            <color indexed="81"/>
            <rFont val="Tahoma"/>
            <family val="2"/>
          </rPr>
          <t>Josh Johnson:</t>
        </r>
        <r>
          <rPr>
            <sz val="8"/>
            <color indexed="81"/>
            <rFont val="Tahoma"/>
            <family val="2"/>
          </rPr>
          <t xml:space="preserve">
Outside Diameter of Pipe</t>
        </r>
      </text>
    </comment>
    <comment ref="F5" authorId="0" shapeId="0" xr:uid="{00000000-0006-0000-0200-000003000000}">
      <text>
        <r>
          <rPr>
            <b/>
            <sz val="8"/>
            <color indexed="81"/>
            <rFont val="Tahoma"/>
            <family val="2"/>
          </rPr>
          <t>Josh Johnson:</t>
        </r>
        <r>
          <rPr>
            <sz val="8"/>
            <color indexed="81"/>
            <rFont val="Tahoma"/>
            <family val="2"/>
          </rPr>
          <t xml:space="preserve">
Spacing From Center of Tee to Center of Tee.  Used to determin the spacing between laterals</t>
        </r>
      </text>
    </comment>
    <comment ref="G5" authorId="0" shapeId="0" xr:uid="{00000000-0006-0000-0200-000004000000}">
      <text>
        <r>
          <rPr>
            <b/>
            <sz val="8"/>
            <color indexed="81"/>
            <rFont val="Tahoma"/>
            <family val="2"/>
          </rPr>
          <t>Josh Johnson:</t>
        </r>
        <r>
          <rPr>
            <sz val="8"/>
            <color indexed="81"/>
            <rFont val="Tahoma"/>
            <family val="2"/>
          </rPr>
          <t xml:space="preserve">
Distance from OD to OD between pipe laterals</t>
        </r>
      </text>
    </comment>
    <comment ref="H5" authorId="0" shapeId="0" xr:uid="{00000000-0006-0000-0200-000005000000}">
      <text>
        <r>
          <rPr>
            <b/>
            <sz val="8"/>
            <color indexed="81"/>
            <rFont val="Tahoma"/>
            <family val="2"/>
          </rPr>
          <t>Josh Johnson:</t>
        </r>
        <r>
          <rPr>
            <sz val="8"/>
            <color indexed="81"/>
            <rFont val="Tahoma"/>
            <family val="2"/>
          </rPr>
          <t xml:space="preserve">
Distance from OD of pipeto the trench wall</t>
        </r>
      </text>
    </comment>
    <comment ref="I5" authorId="0" shapeId="0" xr:uid="{00000000-0006-0000-0200-000006000000}">
      <text>
        <r>
          <rPr>
            <b/>
            <sz val="8"/>
            <color indexed="81"/>
            <rFont val="Tahoma"/>
            <family val="2"/>
          </rPr>
          <t>Josh Johnson:</t>
        </r>
        <r>
          <rPr>
            <sz val="8"/>
            <color indexed="81"/>
            <rFont val="Tahoma"/>
            <family val="2"/>
          </rPr>
          <t xml:space="preserve">
Minnimum bedding height, from OD of Pipe to Trench Bottom</t>
        </r>
      </text>
    </comment>
    <comment ref="J5" authorId="0" shapeId="0" xr:uid="{00000000-0006-0000-0200-000007000000}">
      <text>
        <r>
          <rPr>
            <b/>
            <sz val="8"/>
            <color indexed="81"/>
            <rFont val="Tahoma"/>
            <family val="2"/>
          </rPr>
          <t>Josh Johnson:</t>
        </r>
        <r>
          <rPr>
            <sz val="8"/>
            <color indexed="81"/>
            <rFont val="Tahoma"/>
            <family val="2"/>
          </rPr>
          <t xml:space="preserve">
Internal storage of the pipe in Cubic feet per foot</t>
        </r>
      </text>
    </comment>
    <comment ref="K5" authorId="0" shapeId="0" xr:uid="{00000000-0006-0000-0200-000008000000}">
      <text>
        <r>
          <rPr>
            <b/>
            <sz val="8"/>
            <color indexed="81"/>
            <rFont val="Tahoma"/>
            <family val="2"/>
          </rPr>
          <t>Josh Johnson:</t>
        </r>
        <r>
          <rPr>
            <sz val="8"/>
            <color indexed="81"/>
            <rFont val="Tahoma"/>
            <family val="2"/>
          </rPr>
          <t xml:space="preserve">
Width of the fabricated tee, straight through length</t>
        </r>
      </text>
    </comment>
    <comment ref="L5" authorId="0" shapeId="0" xr:uid="{00000000-0006-0000-0200-000009000000}">
      <text>
        <r>
          <rPr>
            <b/>
            <sz val="8"/>
            <color indexed="81"/>
            <rFont val="Tahoma"/>
            <family val="2"/>
          </rPr>
          <t>Josh Johnson:</t>
        </r>
        <r>
          <rPr>
            <sz val="8"/>
            <color indexed="81"/>
            <rFont val="Tahoma"/>
            <family val="2"/>
          </rPr>
          <t xml:space="preserve">
Actual Volume of a Tee using Cylenders and Steinmentz Solid</t>
        </r>
      </text>
    </comment>
    <comment ref="M5" authorId="0" shapeId="0" xr:uid="{00000000-0006-0000-0200-00000A000000}">
      <text>
        <r>
          <rPr>
            <b/>
            <sz val="8"/>
            <color indexed="81"/>
            <rFont val="Tahoma"/>
            <family val="2"/>
          </rPr>
          <t>Josh Johnson:</t>
        </r>
        <r>
          <rPr>
            <sz val="8"/>
            <color indexed="81"/>
            <rFont val="Tahoma"/>
            <family val="2"/>
          </rPr>
          <t xml:space="preserve">
Total area taken up by the tee, used when calculating stone volume.</t>
        </r>
      </text>
    </comment>
    <comment ref="N5" authorId="0" shapeId="0" xr:uid="{00000000-0006-0000-0200-00000B000000}">
      <text>
        <r>
          <rPr>
            <b/>
            <sz val="8"/>
            <color indexed="81"/>
            <rFont val="Tahoma"/>
            <family val="2"/>
          </rPr>
          <t>Josh Johnson:</t>
        </r>
        <r>
          <rPr>
            <sz val="8"/>
            <color indexed="81"/>
            <rFont val="Tahoma"/>
            <family val="2"/>
          </rPr>
          <t xml:space="preserve">
Length from the center of a tee to the end of the short stub. Also the same length as center of a 90 to the plain end</t>
        </r>
      </text>
    </comment>
    <comment ref="O5" authorId="0" shapeId="0" xr:uid="{00000000-0006-0000-0200-00000C000000}">
      <text>
        <r>
          <rPr>
            <b/>
            <sz val="8"/>
            <color indexed="81"/>
            <rFont val="Tahoma"/>
            <family val="2"/>
          </rPr>
          <t>Josh Johnson:</t>
        </r>
        <r>
          <rPr>
            <sz val="8"/>
            <color indexed="81"/>
            <rFont val="Tahoma"/>
            <family val="2"/>
          </rPr>
          <t xml:space="preserve">
Total storage volume of a 90 deg elbow</t>
        </r>
      </text>
    </comment>
    <comment ref="P5" authorId="0" shapeId="0" xr:uid="{00000000-0006-0000-0200-00000D000000}">
      <text>
        <r>
          <rPr>
            <b/>
            <sz val="8"/>
            <color indexed="81"/>
            <rFont val="Tahoma"/>
            <family val="2"/>
          </rPr>
          <t>Josh Johnson:</t>
        </r>
        <r>
          <rPr>
            <sz val="8"/>
            <color indexed="81"/>
            <rFont val="Tahoma"/>
            <family val="2"/>
          </rPr>
          <t xml:space="preserve">
Length of the stub that would be placed on a bulkhead if the header size is less than the lateral size</t>
        </r>
      </text>
    </comment>
    <comment ref="Q5" authorId="0" shapeId="0" xr:uid="{00000000-0006-0000-0200-00000E000000}">
      <text>
        <r>
          <rPr>
            <b/>
            <sz val="8"/>
            <color indexed="81"/>
            <rFont val="Tahoma"/>
            <family val="2"/>
          </rPr>
          <t>Josh Johnson:</t>
        </r>
        <r>
          <rPr>
            <sz val="8"/>
            <color indexed="81"/>
            <rFont val="Tahoma"/>
            <family val="2"/>
          </rPr>
          <t xml:space="preserve">
Total area taken - This takes into account corrugation area, not just OD of pipe</t>
        </r>
      </text>
    </comment>
    <comment ref="D16" authorId="1" shapeId="0" xr:uid="{5B0B0811-70BB-4A1B-A8A2-B2C41AE09849}">
      <text>
        <t>[Threaded comment]
Your version of Excel allows you to read this threaded comment; however, any edits to it will get removed if the file is opened in a newer version of Excel. Learn more: https://go.microsoft.com/fwlink/?linkid=870924
Comment:
    Updated</t>
      </text>
    </comment>
    <comment ref="E16" authorId="2" shapeId="0" xr:uid="{E544504C-E7BE-4A59-BA6B-ACAF9100D944}">
      <text>
        <t>[Threaded comment]
Your version of Excel allows you to read this threaded comment; however, any edits to it will get removed if the file is opened in a newer version of Excel. Learn more: https://go.microsoft.com/fwlink/?linkid=870924
Comment:
    Updated</t>
      </text>
    </comment>
    <comment ref="F16" authorId="3" shapeId="0" xr:uid="{398D94F0-3082-45D8-90B5-B4A1D1F2312B}">
      <text>
        <t>[Threaded comment]
Your version of Excel allows you to read this threaded comment; however, any edits to it will get removed if the file is opened in a newer version of Excel. Learn more: https://go.microsoft.com/fwlink/?linkid=870924
Comment:
    Updated</t>
      </text>
    </comment>
    <comment ref="J16" authorId="4" shapeId="0" xr:uid="{F70BE57B-85B2-44F7-B2D7-E4C7E4E5962A}">
      <text>
        <t>[Threaded comment]
Your version of Excel allows you to read this threaded comment; however, any edits to it will get removed if the file is opened in a newer version of Excel. Learn more: https://go.microsoft.com/fwlink/?linkid=870924
Comment:
    Updated</t>
      </text>
    </comment>
    <comment ref="K16" authorId="5" shapeId="0" xr:uid="{A68091BD-D486-4EDA-875F-1EC0CFAC85AB}">
      <text>
        <t>[Threaded comment]
Your version of Excel allows you to read this threaded comment; however, any edits to it will get removed if the file is opened in a newer version of Excel. Learn more: https://go.microsoft.com/fwlink/?linkid=870924
Comment:
    Updated</t>
      </text>
    </comment>
    <comment ref="L16" authorId="6" shapeId="0" xr:uid="{40CAC35E-53FE-48D7-B62E-18030B9FDCC5}">
      <text>
        <t>[Threaded comment]
Your version of Excel allows you to read this threaded comment; however, any edits to it will get removed if the file is opened in a newer version of Excel. Learn more: https://go.microsoft.com/fwlink/?linkid=870924
Comment:
    Updated</t>
      </text>
    </comment>
    <comment ref="M16" authorId="7" shapeId="0" xr:uid="{9F36A1B0-9719-4B56-A4F4-B8F706CD60CE}">
      <text>
        <t>[Threaded comment]
Your version of Excel allows you to read this threaded comment; however, any edits to it will get removed if the file is opened in a newer version of Excel. Learn more: https://go.microsoft.com/fwlink/?linkid=870924
Comment:
    Updated</t>
      </text>
    </comment>
    <comment ref="N16" authorId="8" shapeId="0" xr:uid="{C3D51BE8-7332-4DA9-B5BE-FD3369AE250E}">
      <text>
        <t>[Threaded comment]
Your version of Excel allows you to read this threaded comment; however, any edits to it will get removed if the file is opened in a newer version of Excel. Learn more: https://go.microsoft.com/fwlink/?linkid=870924
Comment:
    Updated</t>
      </text>
    </comment>
    <comment ref="O16" authorId="9" shapeId="0" xr:uid="{F31FEA58-8B46-49EB-A244-62ACF7E525AA}">
      <text>
        <t>[Threaded comment]
Your version of Excel allows you to read this threaded comment; however, any edits to it will get removed if the file is opened in a newer version of Excel. Learn more: https://go.microsoft.com/fwlink/?linkid=870924
Comment:
    Updated</t>
      </text>
    </comment>
    <comment ref="Q16" authorId="10" shapeId="0" xr:uid="{610D7675-0B03-4F73-8719-9853BCD0015C}">
      <text>
        <t>[Threaded comment]
Your version of Excel allows you to read this threaded comment; however, any edits to it will get removed if the file is opened in a newer version of Excel. Learn more: https://go.microsoft.com/fwlink/?linkid=870924
Comment:
    Updated</t>
      </text>
    </comment>
  </commentList>
</comments>
</file>

<file path=xl/sharedStrings.xml><?xml version="1.0" encoding="utf-8"?>
<sst xmlns="http://schemas.openxmlformats.org/spreadsheetml/2006/main" count="277" uniqueCount="173">
  <si>
    <t>PROJECT DESCRIPTION</t>
  </si>
  <si>
    <t>Project Name:</t>
  </si>
  <si>
    <t>Date:</t>
  </si>
  <si>
    <t>MM</t>
  </si>
  <si>
    <t>/</t>
  </si>
  <si>
    <t>DD</t>
  </si>
  <si>
    <t>YYYY</t>
  </si>
  <si>
    <t>City / State:</t>
  </si>
  <si>
    <t>Phone #:</t>
  </si>
  <si>
    <t>Engineer:</t>
  </si>
  <si>
    <t>Contractor:</t>
  </si>
  <si>
    <t>Designed By:</t>
  </si>
  <si>
    <t>Prinsco Rep:</t>
  </si>
  <si>
    <t>DESIGN CRITERIA</t>
  </si>
  <si>
    <t>One Value Must Be Zero</t>
  </si>
  <si>
    <t>OR</t>
  </si>
  <si>
    <t>%</t>
  </si>
  <si>
    <t>Warning - Burial depth too shallow</t>
  </si>
  <si>
    <t>Contact Prinsco Sales Representative</t>
  </si>
  <si>
    <t>System Size</t>
  </si>
  <si>
    <t>ID (IN)</t>
  </si>
  <si>
    <t>OD (IN)</t>
  </si>
  <si>
    <t>Manifold C/C Spacing (IN)</t>
  </si>
  <si>
    <t>Column Width (FT)</t>
  </si>
  <si>
    <t>Edge Dist. (FT)</t>
  </si>
  <si>
    <t>Bedding (in)</t>
  </si>
  <si>
    <t>Storage Capacity Non-Perf. (CF/FT)</t>
  </si>
  <si>
    <t>Tee Width (IN)</t>
  </si>
  <si>
    <t>Tee Displacement (CF)</t>
  </si>
  <si>
    <t>Stub Length - Bulkhead (IN)</t>
  </si>
  <si>
    <t>Displacement - Pipe (CF/FT)</t>
  </si>
  <si>
    <t>Volume of Tee (CF)</t>
  </si>
  <si>
    <t>90 Stub (Center to End)</t>
  </si>
  <si>
    <t>Pipe Diameters (IN)</t>
  </si>
  <si>
    <t>Number of Headers</t>
  </si>
  <si>
    <t>Solid or Perforated</t>
  </si>
  <si>
    <t>Include Volume of the Headers</t>
  </si>
  <si>
    <t>Solid</t>
  </si>
  <si>
    <t>Yes</t>
  </si>
  <si>
    <t>WC</t>
  </si>
  <si>
    <t>Perforated</t>
  </si>
  <si>
    <t>No</t>
  </si>
  <si>
    <t>IF Statements</t>
  </si>
  <si>
    <t>Header Volume</t>
  </si>
  <si>
    <t>Header Dim.</t>
  </si>
  <si>
    <t>Fab Vol. (SS)</t>
  </si>
  <si>
    <t>Header Width</t>
  </si>
  <si>
    <t>Spacing Between pipe</t>
  </si>
  <si>
    <t>Solid or Perforated System</t>
  </si>
  <si>
    <t xml:space="preserve">Header Displacement </t>
  </si>
  <si>
    <t>Fab Vol. (DS)</t>
  </si>
  <si>
    <t>Header Length (SS)</t>
  </si>
  <si>
    <t xml:space="preserve">Stone Porosity </t>
  </si>
  <si>
    <t>Fab Disp. (SS)</t>
  </si>
  <si>
    <t>Header Length (DS)</t>
  </si>
  <si>
    <t>Fab Disp. (DS)</t>
  </si>
  <si>
    <t>Number of Headers (0,1,2)</t>
  </si>
  <si>
    <t>Storage Volumes</t>
  </si>
  <si>
    <t>Lateral Volume</t>
  </si>
  <si>
    <t>System Dim.</t>
  </si>
  <si>
    <t>Trench Dim.</t>
  </si>
  <si>
    <t>Header Diameter</t>
  </si>
  <si>
    <t>(in)</t>
  </si>
  <si>
    <t>Product Storage</t>
  </si>
  <si>
    <t>Lateral Vol.</t>
  </si>
  <si>
    <t xml:space="preserve">System Length </t>
  </si>
  <si>
    <t>Trench Length</t>
  </si>
  <si>
    <t>Lateral Diameter</t>
  </si>
  <si>
    <t>Lateral Disp.</t>
  </si>
  <si>
    <t>System Width</t>
  </si>
  <si>
    <t>Trench Width</t>
  </si>
  <si>
    <t>(ft)</t>
  </si>
  <si>
    <t>Stone Volume (cf)</t>
  </si>
  <si>
    <t>Lateral Length</t>
  </si>
  <si>
    <t>Number of laterals</t>
  </si>
  <si>
    <t>Stone Volume (cy)</t>
  </si>
  <si>
    <t>Additional Stone Above</t>
  </si>
  <si>
    <t>Stone Storage</t>
  </si>
  <si>
    <t>Cover Height</t>
  </si>
  <si>
    <t>Additional Stone Below</t>
  </si>
  <si>
    <t>Total System Storage</t>
  </si>
  <si>
    <t>Average Depth to Invert</t>
  </si>
  <si>
    <t>Max. Depth to Invert of Pipe</t>
  </si>
  <si>
    <t>Min. Depth to Invert of Pipe</t>
  </si>
  <si>
    <t>Additional Stone Side</t>
  </si>
  <si>
    <t>Outputs</t>
  </si>
  <si>
    <t>x</t>
  </si>
  <si>
    <t>(cf)</t>
  </si>
  <si>
    <t>System Length</t>
  </si>
  <si>
    <t>Excavation Width</t>
  </si>
  <si>
    <t>Excavation Length</t>
  </si>
  <si>
    <t>System Footprint</t>
  </si>
  <si>
    <t>(sf)</t>
  </si>
  <si>
    <t>Required Stone</t>
  </si>
  <si>
    <t>(cy)</t>
  </si>
  <si>
    <t>Initial Backfill Above Crown</t>
  </si>
  <si>
    <t>Bedding</t>
  </si>
  <si>
    <t>Side Wall Spacing</t>
  </si>
  <si>
    <t>C-C Spacing</t>
  </si>
  <si>
    <t>Spacing Between Pipe</t>
  </si>
  <si>
    <t>Recommended riser size</t>
  </si>
  <si>
    <t>Picture Selector</t>
  </si>
  <si>
    <t>System too Shallow Formula</t>
  </si>
  <si>
    <t xml:space="preserve">Max. Burial Depth </t>
  </si>
  <si>
    <t>Min. Burial Depth</t>
  </si>
  <si>
    <t>Lateral/System Length Calc</t>
  </si>
  <si>
    <t>System Length - Input</t>
  </si>
  <si>
    <t>Lateral Length - Input</t>
  </si>
  <si>
    <t>LL convert to SL</t>
  </si>
  <si>
    <t>Perimeter Calculation</t>
  </si>
  <si>
    <t>sf</t>
  </si>
  <si>
    <t>Geotextile Calculation</t>
  </si>
  <si>
    <t>Index #</t>
  </si>
  <si>
    <t>SYSTEM LAYOUT</t>
  </si>
  <si>
    <t>SYSTEM STORAGE</t>
  </si>
  <si>
    <t>Pipe System Calculations</t>
  </si>
  <si>
    <t>Table for Drop-Down Options (Comboboxes)</t>
  </si>
  <si>
    <t>ft</t>
  </si>
  <si>
    <t>Index # output</t>
  </si>
  <si>
    <t>UC (UniCor machine) (WC, which all pipe is now)</t>
  </si>
  <si>
    <t>?</t>
  </si>
  <si>
    <t>System Footprint  (sf)</t>
  </si>
  <si>
    <t>System Displacement (cf)</t>
  </si>
  <si>
    <t>Stone Envelope Height (ft)</t>
  </si>
  <si>
    <t>Trench Height (ft)</t>
  </si>
  <si>
    <t>Cover Height (ft)</t>
  </si>
  <si>
    <t>System Length (ft)</t>
  </si>
  <si>
    <t>System Width (ft)</t>
  </si>
  <si>
    <t>Lateral Length (ft)</t>
  </si>
  <si>
    <t>Header Length (ft)</t>
  </si>
  <si>
    <t>Manifold CC spacing and tee width same..</t>
  </si>
  <si>
    <t>matched system calc</t>
  </si>
  <si>
    <t>Units</t>
  </si>
  <si>
    <t>Standard</t>
  </si>
  <si>
    <t>Metric</t>
  </si>
  <si>
    <t>Pipe Diameters (mm)</t>
  </si>
  <si>
    <t>Number of Laterals</t>
  </si>
  <si>
    <t>Additional Stone Above Pipe*</t>
  </si>
  <si>
    <t>Additional Stone Below Pipe*</t>
  </si>
  <si>
    <t>Stone Porosity</t>
  </si>
  <si>
    <t>Additional Stone Side of Pipe*</t>
  </si>
  <si>
    <t>* Minimum recommended values are already included in calculations</t>
  </si>
  <si>
    <t>Recommended riser diameter:</t>
  </si>
  <si>
    <t>Metric Conversions</t>
  </si>
  <si>
    <t>Pipe Options for Drop Down</t>
  </si>
  <si>
    <t>mm</t>
  </si>
  <si>
    <t>Conversions</t>
  </si>
  <si>
    <t>ft =</t>
  </si>
  <si>
    <t>m</t>
  </si>
  <si>
    <t>in =</t>
  </si>
  <si>
    <t>Inputs</t>
  </si>
  <si>
    <t>cf =</t>
  </si>
  <si>
    <t>sf =</t>
  </si>
  <si>
    <t>cy =</t>
  </si>
  <si>
    <t>cu. m</t>
  </si>
  <si>
    <t>sq. m</t>
  </si>
  <si>
    <t>Picture labels</t>
  </si>
  <si>
    <t>V 3.0</t>
  </si>
  <si>
    <t>sy</t>
  </si>
  <si>
    <t>sf=</t>
  </si>
  <si>
    <t>Recommended cleanout size</t>
  </si>
  <si>
    <t>6 or 8 in</t>
  </si>
  <si>
    <t>150 or 200 mm</t>
  </si>
  <si>
    <t>Recommended cleanout size:</t>
  </si>
  <si>
    <t>updated 2/10/26</t>
  </si>
  <si>
    <t>Volume of 90 Elbow (CF)</t>
  </si>
  <si>
    <t>Stormwater Retention/Detention System Design Aid for HDPE Pipe</t>
  </si>
  <si>
    <t>matched pipe blocks</t>
  </si>
  <si>
    <t xml:space="preserve">matched system calc </t>
  </si>
  <si>
    <t xml:space="preserve"> </t>
  </si>
  <si>
    <t xml:space="preserve">Added the equation </t>
  </si>
  <si>
    <t>added the equation</t>
  </si>
  <si>
    <t>Changed to match the pipe blocks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</si>
</sst>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"/>
    <numFmt numFmtId="165" formatCode="0.0\'"/>
    <numFmt numFmtId="166" formatCode="0.0\'\'"/>
    <numFmt numFmtId="167" formatCode="0.000"/>
  </numFmts>
  <fonts count="34" x14ac:knownFonts="1">
    <font>
      <sz val="8"/>
      <color theme="1"/>
      <name val="Arial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8"/>
      <name val="Calibri"/>
      <family val="2"/>
      <scheme val="minor"/>
    </font>
    <font>
      <u/>
      <sz val="12"/>
      <color theme="10"/>
      <name val="Arial"/>
      <family val="2"/>
    </font>
    <font>
      <u/>
      <sz val="12"/>
      <color theme="11"/>
      <name val="Arial"/>
      <family val="2"/>
    </font>
    <font>
      <sz val="12"/>
      <color theme="0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u/>
      <sz val="8"/>
      <color theme="10"/>
      <name val="Arial"/>
      <family val="2"/>
    </font>
    <font>
      <u/>
      <sz val="8"/>
      <color theme="11"/>
      <name val="Arial"/>
      <family val="2"/>
    </font>
    <font>
      <sz val="8"/>
      <color theme="0"/>
      <name val="Arial"/>
      <family val="2"/>
    </font>
    <font>
      <sz val="8"/>
      <color rgb="FF4171B4"/>
      <name val="Arial"/>
      <family val="2"/>
    </font>
    <font>
      <b/>
      <sz val="8"/>
      <color rgb="FF4171B4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9"/>
      <color theme="1"/>
      <name val="Arial"/>
      <family val="2"/>
    </font>
    <font>
      <sz val="9"/>
      <color theme="0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8"/>
      <color rgb="FFFF0000"/>
      <name val="Arial"/>
      <family val="2"/>
    </font>
    <font>
      <b/>
      <sz val="8"/>
      <color rgb="FFFF0000"/>
      <name val="Arial"/>
      <family val="2"/>
    </font>
    <font>
      <b/>
      <u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i/>
      <sz val="8"/>
      <color theme="1"/>
      <name val="Arial"/>
      <family val="2"/>
    </font>
    <font>
      <b/>
      <sz val="14"/>
      <color theme="1"/>
      <name val="Arial"/>
      <family val="2"/>
    </font>
    <font>
      <b/>
      <sz val="8"/>
      <name val="Arial"/>
      <family val="2"/>
    </font>
    <font>
      <sz val="8"/>
      <color rgb="FFFDE021"/>
      <name val="Arial"/>
      <family val="2"/>
    </font>
    <font>
      <sz val="8"/>
      <color rgb="FF000000"/>
      <name val="Arial"/>
      <family val="2"/>
    </font>
    <font>
      <sz val="6"/>
      <color rgb="FF000000"/>
      <name val="Arial"/>
      <family val="2"/>
    </font>
    <font>
      <u/>
      <sz val="8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DE021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2" tint="-0.249977111117893"/>
      </left>
      <right/>
      <top/>
      <bottom/>
      <diagonal/>
    </border>
    <border>
      <left/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  <border>
      <left style="thin">
        <color theme="2" tint="-0.249977111117893"/>
      </left>
      <right/>
      <top style="thin">
        <color theme="2" tint="-0.249977111117893"/>
      </top>
      <bottom style="thin">
        <color theme="2" tint="-0.249977111117893"/>
      </bottom>
      <diagonal/>
    </border>
    <border>
      <left/>
      <right/>
      <top style="thin">
        <color theme="2" tint="-0.249977111117893"/>
      </top>
      <bottom style="thin">
        <color theme="2" tint="-0.249977111117893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theme="2" tint="-0.249977111117893"/>
      </bottom>
      <diagonal/>
    </border>
    <border>
      <left/>
      <right style="thin">
        <color theme="2" tint="-0.249977111117893"/>
      </right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91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</cellStyleXfs>
  <cellXfs count="113">
    <xf numFmtId="0" fontId="0" fillId="0" borderId="0" xfId="0"/>
    <xf numFmtId="0" fontId="0" fillId="0" borderId="1" xfId="0" applyBorder="1"/>
    <xf numFmtId="0" fontId="0" fillId="0" borderId="0" xfId="0" applyAlignment="1">
      <alignment horizontal="center" vertical="center" wrapText="1"/>
    </xf>
    <xf numFmtId="0" fontId="0" fillId="0" borderId="3" xfId="0" applyBorder="1"/>
    <xf numFmtId="0" fontId="1" fillId="0" borderId="3" xfId="0" applyFon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" fillId="0" borderId="5" xfId="0" applyFont="1" applyBorder="1"/>
    <xf numFmtId="0" fontId="0" fillId="0" borderId="7" xfId="0" applyBorder="1"/>
    <xf numFmtId="0" fontId="0" fillId="0" borderId="8" xfId="0" applyBorder="1"/>
    <xf numFmtId="0" fontId="0" fillId="0" borderId="0" xfId="0" applyAlignment="1">
      <alignment horizontal="center"/>
    </xf>
    <xf numFmtId="0" fontId="2" fillId="0" borderId="0" xfId="0" applyFon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0" fontId="0" fillId="0" borderId="0" xfId="0" applyAlignment="1">
      <alignment vertical="center"/>
    </xf>
    <xf numFmtId="0" fontId="8" fillId="0" borderId="0" xfId="0" applyFont="1" applyAlignment="1">
      <alignment horizont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right" vertical="center"/>
    </xf>
    <xf numFmtId="0" fontId="16" fillId="0" borderId="0" xfId="0" applyFont="1" applyAlignment="1">
      <alignment vertical="center"/>
    </xf>
    <xf numFmtId="0" fontId="16" fillId="0" borderId="0" xfId="0" applyFont="1" applyAlignment="1">
      <alignment horizontal="left" vertical="center"/>
    </xf>
    <xf numFmtId="0" fontId="17" fillId="0" borderId="0" xfId="0" applyFont="1"/>
    <xf numFmtId="0" fontId="17" fillId="0" borderId="0" xfId="0" applyFont="1" applyAlignment="1">
      <alignment horizontal="left"/>
    </xf>
    <xf numFmtId="0" fontId="17" fillId="0" borderId="0" xfId="0" applyFont="1" applyAlignment="1">
      <alignment horizontal="right" vertical="center"/>
    </xf>
    <xf numFmtId="0" fontId="18" fillId="0" borderId="0" xfId="0" applyFont="1"/>
    <xf numFmtId="166" fontId="16" fillId="0" borderId="0" xfId="0" applyNumberFormat="1" applyFont="1"/>
    <xf numFmtId="0" fontId="0" fillId="0" borderId="10" xfId="0" applyBorder="1" applyAlignment="1" applyProtection="1">
      <alignment horizontal="center"/>
      <protection locked="0"/>
    </xf>
    <xf numFmtId="0" fontId="17" fillId="0" borderId="10" xfId="0" applyFont="1" applyBorder="1" applyAlignment="1" applyProtection="1">
      <alignment horizontal="center"/>
      <protection locked="0"/>
    </xf>
    <xf numFmtId="0" fontId="16" fillId="0" borderId="12" xfId="0" applyFont="1" applyBorder="1" applyAlignment="1">
      <alignment horizontal="left" vertical="center"/>
    </xf>
    <xf numFmtId="0" fontId="17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2" fontId="17" fillId="0" borderId="0" xfId="0" applyNumberFormat="1" applyFont="1" applyAlignment="1">
      <alignment horizontal="left" vertical="center"/>
    </xf>
    <xf numFmtId="2" fontId="0" fillId="0" borderId="0" xfId="0" applyNumberFormat="1"/>
    <xf numFmtId="0" fontId="23" fillId="0" borderId="0" xfId="0" applyFont="1"/>
    <xf numFmtId="0" fontId="24" fillId="0" borderId="0" xfId="0" applyFont="1"/>
    <xf numFmtId="0" fontId="17" fillId="0" borderId="0" xfId="0" applyFont="1" applyAlignment="1">
      <alignment horizontal="right"/>
    </xf>
    <xf numFmtId="0" fontId="18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8" fillId="0" borderId="1" xfId="0" applyFont="1" applyBorder="1" applyAlignment="1">
      <alignment horizontal="center" wrapText="1"/>
    </xf>
    <xf numFmtId="0" fontId="1" fillId="0" borderId="0" xfId="0" applyFont="1"/>
    <xf numFmtId="164" fontId="0" fillId="0" borderId="6" xfId="0" applyNumberFormat="1" applyBorder="1"/>
    <xf numFmtId="0" fontId="1" fillId="0" borderId="2" xfId="0" applyFont="1" applyBorder="1" applyAlignment="1">
      <alignment horizontal="left"/>
    </xf>
    <xf numFmtId="0" fontId="17" fillId="0" borderId="0" xfId="0" applyFont="1" applyAlignment="1">
      <alignment wrapText="1"/>
    </xf>
    <xf numFmtId="0" fontId="25" fillId="0" borderId="0" xfId="0" applyFont="1"/>
    <xf numFmtId="0" fontId="0" fillId="2" borderId="1" xfId="0" applyFill="1" applyBorder="1"/>
    <xf numFmtId="2" fontId="0" fillId="2" borderId="1" xfId="0" applyNumberFormat="1" applyFill="1" applyBorder="1"/>
    <xf numFmtId="2" fontId="16" fillId="2" borderId="1" xfId="0" applyNumberFormat="1" applyFont="1" applyFill="1" applyBorder="1"/>
    <xf numFmtId="0" fontId="18" fillId="0" borderId="1" xfId="0" applyFont="1" applyBorder="1" applyAlignment="1">
      <alignment horizontal="center" vertical="center" wrapText="1"/>
    </xf>
    <xf numFmtId="0" fontId="26" fillId="0" borderId="0" xfId="0" applyFont="1"/>
    <xf numFmtId="0" fontId="27" fillId="0" borderId="0" xfId="0" applyFont="1" applyAlignment="1">
      <alignment horizontal="center" wrapText="1"/>
    </xf>
    <xf numFmtId="0" fontId="17" fillId="0" borderId="8" xfId="0" applyFont="1" applyBorder="1"/>
    <xf numFmtId="0" fontId="17" fillId="0" borderId="5" xfId="0" applyFont="1" applyBorder="1"/>
    <xf numFmtId="0" fontId="27" fillId="0" borderId="0" xfId="0" applyFont="1"/>
    <xf numFmtId="164" fontId="0" fillId="0" borderId="9" xfId="0" applyNumberFormat="1" applyBorder="1"/>
    <xf numFmtId="164" fontId="0" fillId="0" borderId="8" xfId="0" applyNumberFormat="1" applyBorder="1"/>
    <xf numFmtId="0" fontId="0" fillId="0" borderId="0" xfId="0" applyAlignment="1">
      <alignment vertical="center" wrapText="1"/>
    </xf>
    <xf numFmtId="0" fontId="28" fillId="0" borderId="0" xfId="0" applyFont="1"/>
    <xf numFmtId="0" fontId="1" fillId="0" borderId="0" xfId="0" applyFont="1" applyAlignment="1">
      <alignment horizontal="left"/>
    </xf>
    <xf numFmtId="0" fontId="17" fillId="0" borderId="3" xfId="0" applyFont="1" applyBorder="1" applyAlignment="1">
      <alignment wrapText="1"/>
    </xf>
    <xf numFmtId="0" fontId="32" fillId="0" borderId="0" xfId="0" applyFont="1" applyAlignment="1">
      <alignment horizontal="left"/>
    </xf>
    <xf numFmtId="167" fontId="17" fillId="0" borderId="0" xfId="0" applyNumberFormat="1" applyFont="1"/>
    <xf numFmtId="164" fontId="17" fillId="0" borderId="0" xfId="0" applyNumberFormat="1" applyFont="1"/>
    <xf numFmtId="0" fontId="33" fillId="0" borderId="0" xfId="0" applyFont="1" applyAlignment="1">
      <alignment horizontal="right" wrapText="1"/>
    </xf>
    <xf numFmtId="0" fontId="33" fillId="0" borderId="0" xfId="0" applyFont="1"/>
    <xf numFmtId="0" fontId="33" fillId="0" borderId="0" xfId="0" applyFont="1" applyAlignment="1">
      <alignment wrapText="1"/>
    </xf>
    <xf numFmtId="2" fontId="0" fillId="0" borderId="0" xfId="0" applyNumberFormat="1" applyAlignment="1">
      <alignment horizontal="right"/>
    </xf>
    <xf numFmtId="164" fontId="17" fillId="0" borderId="0" xfId="0" applyNumberFormat="1" applyFont="1" applyAlignment="1">
      <alignment horizontal="left" vertical="center"/>
    </xf>
    <xf numFmtId="0" fontId="0" fillId="0" borderId="0" xfId="0" applyAlignment="1">
      <alignment horizontal="left"/>
    </xf>
    <xf numFmtId="0" fontId="31" fillId="0" borderId="0" xfId="0" applyFont="1"/>
    <xf numFmtId="0" fontId="0" fillId="0" borderId="28" xfId="0" applyBorder="1"/>
    <xf numFmtId="0" fontId="0" fillId="0" borderId="29" xfId="0" applyBorder="1"/>
    <xf numFmtId="167" fontId="0" fillId="0" borderId="6" xfId="0" applyNumberFormat="1" applyBorder="1"/>
    <xf numFmtId="2" fontId="0" fillId="0" borderId="6" xfId="0" applyNumberFormat="1" applyBorder="1"/>
    <xf numFmtId="0" fontId="17" fillId="5" borderId="0" xfId="0" applyFont="1" applyFill="1" applyAlignment="1">
      <alignment wrapText="1"/>
    </xf>
    <xf numFmtId="0" fontId="0" fillId="0" borderId="0" xfId="0" applyAlignment="1">
      <alignment wrapText="1"/>
    </xf>
    <xf numFmtId="0" fontId="17" fillId="0" borderId="0" xfId="0" applyFont="1" applyAlignment="1">
      <alignment horizontal="right" wrapText="1"/>
    </xf>
    <xf numFmtId="0" fontId="0" fillId="0" borderId="0" xfId="0" applyAlignment="1">
      <alignment horizontal="right" wrapText="1"/>
    </xf>
    <xf numFmtId="0" fontId="0" fillId="0" borderId="27" xfId="0" applyBorder="1" applyAlignment="1">
      <alignment horizontal="right" wrapText="1"/>
    </xf>
    <xf numFmtId="0" fontId="17" fillId="0" borderId="0" xfId="0" applyFont="1" applyAlignment="1">
      <alignment horizontal="right" vertical="center" wrapText="1"/>
    </xf>
    <xf numFmtId="0" fontId="17" fillId="0" borderId="27" xfId="0" applyFont="1" applyBorder="1" applyAlignment="1">
      <alignment horizontal="right" vertical="center" wrapText="1"/>
    </xf>
    <xf numFmtId="0" fontId="31" fillId="0" borderId="0" xfId="0" applyFont="1" applyAlignment="1">
      <alignment horizontal="left"/>
    </xf>
    <xf numFmtId="0" fontId="29" fillId="4" borderId="23" xfId="0" applyFont="1" applyFill="1" applyBorder="1" applyAlignment="1">
      <alignment horizontal="center" vertical="center"/>
    </xf>
    <xf numFmtId="0" fontId="29" fillId="4" borderId="24" xfId="0" applyFont="1" applyFill="1" applyBorder="1" applyAlignment="1">
      <alignment horizontal="center" vertical="center"/>
    </xf>
    <xf numFmtId="0" fontId="29" fillId="4" borderId="25" xfId="0" applyFont="1" applyFill="1" applyBorder="1" applyAlignment="1">
      <alignment horizontal="center" vertical="center"/>
    </xf>
    <xf numFmtId="3" fontId="30" fillId="3" borderId="14" xfId="0" applyNumberFormat="1" applyFont="1" applyFill="1" applyBorder="1" applyAlignment="1">
      <alignment horizontal="center" vertical="center"/>
    </xf>
    <xf numFmtId="3" fontId="30" fillId="3" borderId="13" xfId="0" applyNumberFormat="1" applyFont="1" applyFill="1" applyBorder="1" applyAlignment="1">
      <alignment horizontal="center" vertical="center"/>
    </xf>
    <xf numFmtId="0" fontId="16" fillId="4" borderId="14" xfId="0" applyFont="1" applyFill="1" applyBorder="1" applyAlignment="1" applyProtection="1">
      <alignment horizontal="center" vertical="center"/>
      <protection locked="0"/>
    </xf>
    <xf numFmtId="0" fontId="16" fillId="4" borderId="13" xfId="0" applyFont="1" applyFill="1" applyBorder="1" applyAlignment="1" applyProtection="1">
      <alignment horizontal="center" vertical="center"/>
      <protection locked="0"/>
    </xf>
    <xf numFmtId="0" fontId="0" fillId="4" borderId="14" xfId="0" applyFill="1" applyBorder="1" applyAlignment="1" applyProtection="1">
      <alignment horizontal="center" vertical="center"/>
      <protection locked="0"/>
    </xf>
    <xf numFmtId="0" fontId="0" fillId="4" borderId="15" xfId="0" applyFill="1" applyBorder="1" applyAlignment="1" applyProtection="1">
      <alignment horizontal="center" vertical="center"/>
      <protection locked="0"/>
    </xf>
    <xf numFmtId="0" fontId="0" fillId="4" borderId="13" xfId="0" applyFill="1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/>
      <protection locked="0"/>
    </xf>
    <xf numFmtId="0" fontId="0" fillId="0" borderId="0" xfId="0" applyAlignment="1">
      <alignment horizontal="right" vertical="center" wrapText="1"/>
    </xf>
    <xf numFmtId="0" fontId="0" fillId="0" borderId="11" xfId="0" applyBorder="1" applyAlignment="1" applyProtection="1">
      <alignment horizontal="center"/>
      <protection locked="0"/>
    </xf>
    <xf numFmtId="0" fontId="16" fillId="4" borderId="15" xfId="0" applyFont="1" applyFill="1" applyBorder="1" applyAlignment="1" applyProtection="1">
      <alignment horizontal="center" vertical="center"/>
      <protection locked="0"/>
    </xf>
    <xf numFmtId="0" fontId="20" fillId="0" borderId="0" xfId="0" applyFont="1" applyAlignment="1">
      <alignment horizontal="center" vertical="center"/>
    </xf>
    <xf numFmtId="3" fontId="30" fillId="3" borderId="15" xfId="0" applyNumberFormat="1" applyFont="1" applyFill="1" applyBorder="1" applyAlignment="1">
      <alignment horizontal="center" vertical="center"/>
    </xf>
    <xf numFmtId="0" fontId="19" fillId="0" borderId="0" xfId="0" applyFont="1" applyAlignment="1">
      <alignment horizontal="left" vertical="center"/>
    </xf>
    <xf numFmtId="0" fontId="17" fillId="0" borderId="3" xfId="0" applyFont="1" applyBorder="1" applyAlignment="1">
      <alignment horizontal="center" wrapText="1"/>
    </xf>
    <xf numFmtId="0" fontId="17" fillId="0" borderId="0" xfId="0" applyFont="1" applyAlignment="1">
      <alignment horizontal="center" wrapText="1"/>
    </xf>
    <xf numFmtId="0" fontId="17" fillId="0" borderId="26" xfId="0" applyFont="1" applyBorder="1" applyAlignment="1">
      <alignment horizontal="center" wrapText="1"/>
    </xf>
    <xf numFmtId="0" fontId="13" fillId="0" borderId="0" xfId="0" applyFont="1" applyAlignment="1">
      <alignment horizontal="center" wrapText="1"/>
    </xf>
  </cellXfs>
  <cellStyles count="91">
    <cellStyle name="Followed Hyperlink" xfId="68" builtinId="9" hidden="1"/>
    <cellStyle name="Followed Hyperlink" xfId="72" builtinId="9" hidden="1"/>
    <cellStyle name="Followed Hyperlink" xfId="76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89" builtinId="9" hidden="1"/>
    <cellStyle name="Followed Hyperlink" xfId="87" builtinId="9" hidden="1"/>
    <cellStyle name="Followed Hyperlink" xfId="85" builtinId="9" hidden="1"/>
    <cellStyle name="Followed Hyperlink" xfId="83" builtinId="9" hidden="1"/>
    <cellStyle name="Followed Hyperlink" xfId="81" builtinId="9" hidden="1"/>
    <cellStyle name="Followed Hyperlink" xfId="78" builtinId="9" hidden="1"/>
    <cellStyle name="Followed Hyperlink" xfId="74" builtinId="9" hidden="1"/>
    <cellStyle name="Followed Hyperlink" xfId="70" builtinId="9" hidden="1"/>
    <cellStyle name="Followed Hyperlink" xfId="66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4" builtinId="9" hidden="1"/>
    <cellStyle name="Followed Hyperlink" xfId="62" builtinId="9" hidden="1"/>
    <cellStyle name="Followed Hyperlink" xfId="54" builtinId="9" hidden="1"/>
    <cellStyle name="Followed Hyperlink" xfId="46" builtinId="9" hidden="1"/>
    <cellStyle name="Followed Hyperlink" xfId="38" builtinId="9" hidden="1"/>
    <cellStyle name="Followed Hyperlink" xfId="30" builtinId="9" hidden="1"/>
    <cellStyle name="Followed Hyperlink" xfId="22" builtinId="9" hidden="1"/>
    <cellStyle name="Followed Hyperlink" xfId="10" builtinId="9" hidden="1"/>
    <cellStyle name="Followed Hyperlink" xfId="12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14" builtinId="9" hidden="1"/>
    <cellStyle name="Followed Hyperlink" xfId="6" builtinId="9" hidden="1"/>
    <cellStyle name="Followed Hyperlink" xfId="8" builtinId="9" hidden="1"/>
    <cellStyle name="Followed Hyperlink" xfId="4" builtinId="9" hidden="1"/>
    <cellStyle name="Followed Hyperlink" xfId="2" builtinId="9" hidden="1"/>
    <cellStyle name="Hyperlink" xfId="59" builtinId="8" hidden="1"/>
    <cellStyle name="Hyperlink" xfId="63" builtinId="8" hidden="1"/>
    <cellStyle name="Hyperlink" xfId="65" builtinId="8" hidden="1"/>
    <cellStyle name="Hyperlink" xfId="67" builtinId="8" hidden="1"/>
    <cellStyle name="Hyperlink" xfId="71" builtinId="8" hidden="1"/>
    <cellStyle name="Hyperlink" xfId="73" builtinId="8" hidden="1"/>
    <cellStyle name="Hyperlink" xfId="75" builtinId="8" hidden="1"/>
    <cellStyle name="Hyperlink" xfId="79" builtinId="8" hidden="1"/>
    <cellStyle name="Hyperlink" xfId="77" builtinId="8" hidden="1"/>
    <cellStyle name="Hyperlink" xfId="69" builtinId="8" hidden="1"/>
    <cellStyle name="Hyperlink" xfId="61" builtinId="8" hidden="1"/>
    <cellStyle name="Hyperlink" xfId="25" builtinId="8" hidden="1"/>
    <cellStyle name="Hyperlink" xfId="27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45" builtinId="8" hidden="1"/>
    <cellStyle name="Hyperlink" xfId="29" builtinId="8" hidden="1"/>
    <cellStyle name="Hyperlink" xfId="11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13" builtinId="8" hidden="1"/>
    <cellStyle name="Hyperlink" xfId="5" builtinId="8" hidden="1"/>
    <cellStyle name="Hyperlink" xfId="7" builtinId="8" hidden="1"/>
    <cellStyle name="Hyperlink" xfId="9" builtinId="8" hidden="1"/>
    <cellStyle name="Hyperlink" xfId="3" builtinId="8" hidden="1"/>
    <cellStyle name="Hyperlink" xfId="1" builtinId="8" hidden="1"/>
    <cellStyle name="Normal" xfId="0" builtinId="0" customBuiltin="1"/>
  </cellStyles>
  <dxfs count="9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colors>
    <mruColors>
      <color rgb="FFFDE021"/>
      <color rgb="FFF6E03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Drop" dropLines="77" dropStyle="combo" dx="16" fmlaLink="'System Calculations'!$A$20" fmlaRange="HeaderConfiguration" sel="3" val="0"/>
</file>

<file path=xl/ctrlProps/ctrlProp2.xml><?xml version="1.0" encoding="utf-8"?>
<formControlPr xmlns="http://schemas.microsoft.com/office/spreadsheetml/2009/9/main" objectType="Drop" dropLines="47" dropStyle="combo" dx="16" fmlaLink="'System Calculations'!$A$19" fmlaRange="YesNo" sel="1" val="0"/>
</file>

<file path=xl/ctrlProps/ctrlProp3.xml><?xml version="1.0" encoding="utf-8"?>
<formControlPr xmlns="http://schemas.microsoft.com/office/spreadsheetml/2009/9/main" objectType="Drop" dropLines="47" dropStyle="combo" dx="16" fmlaLink="'System Calculations'!$A$22" fmlaRange="'System Calculations'!$I$4:$I$12" sel="1" val="0"/>
</file>

<file path=xl/ctrlProps/ctrlProp4.xml><?xml version="1.0" encoding="utf-8"?>
<formControlPr xmlns="http://schemas.microsoft.com/office/spreadsheetml/2009/9/main" objectType="Drop" dropLines="47" dropStyle="combo" dx="16" fmlaLink="'System Calculations'!$A$17" fmlaRange="Perforated" sel="2" val="0"/>
</file>

<file path=xl/ctrlProps/ctrlProp5.xml><?xml version="1.0" encoding="utf-8"?>
<formControlPr xmlns="http://schemas.microsoft.com/office/spreadsheetml/2009/9/main" objectType="Drop" dropLines="57" dropStyle="combo" dx="16" fmlaLink="'System Calculations'!$A$21" fmlaRange="'System Calculations'!$I$4:$I$12" sel="1" val="0"/>
</file>

<file path=xl/ctrlProps/ctrlProp6.xml><?xml version="1.0" encoding="utf-8"?>
<formControlPr xmlns="http://schemas.microsoft.com/office/spreadsheetml/2009/9/main" objectType="Drop" dropLines="2" dropStyle="combo" dx="26" fmlaLink="'System Calculations'!$A$16" fmlaRange="'System Calculations'!$G$4:$G$5" sel="1" val="0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prinsco.com" TargetMode="External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jpg"/><Relationship Id="rId7" Type="http://schemas.openxmlformats.org/officeDocument/2006/relationships/image" Target="../media/image12.png"/><Relationship Id="rId2" Type="http://schemas.openxmlformats.org/officeDocument/2006/relationships/image" Target="../media/image7.jpg"/><Relationship Id="rId1" Type="http://schemas.openxmlformats.org/officeDocument/2006/relationships/image" Target="../media/image6.jpg"/><Relationship Id="rId6" Type="http://schemas.openxmlformats.org/officeDocument/2006/relationships/image" Target="../media/image11.png"/><Relationship Id="rId5" Type="http://schemas.openxmlformats.org/officeDocument/2006/relationships/image" Target="../media/image10.jpg"/><Relationship Id="rId4" Type="http://schemas.openxmlformats.org/officeDocument/2006/relationships/image" Target="../media/image9.jp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20321</xdr:colOff>
          <xdr:row>20</xdr:row>
          <xdr:rowOff>24130</xdr:rowOff>
        </xdr:from>
        <xdr:to>
          <xdr:col>30</xdr:col>
          <xdr:colOff>0</xdr:colOff>
          <xdr:row>33</xdr:row>
          <xdr:rowOff>135255</xdr:rowOff>
        </xdr:to>
        <xdr:pic>
          <xdr:nvPicPr>
            <xdr:cNvPr id="10815" name="Picture 5">
              <a:extLst>
                <a:ext uri="{FF2B5EF4-FFF2-40B4-BE49-F238E27FC236}">
                  <a16:creationId xmlns:a16="http://schemas.microsoft.com/office/drawing/2014/main" id="{00000000-0008-0000-0000-00003F2A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Picture2" spid="_x0000_s17037"/>
                </a:ext>
              </a:extLst>
            </xdr:cNvPicPr>
          </xdr:nvPicPr>
          <xdr:blipFill>
            <a:blip xmlns:r="http://schemas.openxmlformats.org/officeDocument/2006/relationships" r:embed="rId1"/>
            <a:srcRect l="1419"/>
            <a:stretch>
              <a:fillRect/>
            </a:stretch>
          </xdr:blipFill>
          <xdr:spPr bwMode="auto">
            <a:xfrm>
              <a:off x="782321" y="3834130"/>
              <a:ext cx="5374639" cy="2907030"/>
            </a:xfrm>
            <a:prstGeom prst="rect">
              <a:avLst/>
            </a:prstGeom>
            <a:solidFill>
              <a:schemeClr val="bg1"/>
            </a:solidFill>
          </xdr:spPr>
        </xdr:pic>
        <xdr:clientData/>
      </xdr:twoCellAnchor>
    </mc:Choice>
    <mc:Fallback/>
  </mc:AlternateContent>
  <xdr:twoCellAnchor>
    <xdr:from>
      <xdr:col>29</xdr:col>
      <xdr:colOff>174625</xdr:colOff>
      <xdr:row>20</xdr:row>
      <xdr:rowOff>21590</xdr:rowOff>
    </xdr:from>
    <xdr:to>
      <xdr:col>55</xdr:col>
      <xdr:colOff>139671</xdr:colOff>
      <xdr:row>36</xdr:row>
      <xdr:rowOff>60293</xdr:rowOff>
    </xdr:to>
    <xdr:grpSp>
      <xdr:nvGrpSpPr>
        <xdr:cNvPr id="10" name="Group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GrpSpPr/>
      </xdr:nvGrpSpPr>
      <xdr:grpSpPr>
        <a:xfrm>
          <a:off x="5733415" y="3846830"/>
          <a:ext cx="4651346" cy="3410553"/>
          <a:chOff x="5751801" y="3391502"/>
          <a:chExt cx="4933950" cy="3343275"/>
        </a:xfrm>
      </xdr:grpSpPr>
      <mc:AlternateContent xmlns:mc="http://schemas.openxmlformats.org/markup-compatibility/2006" xmlns:a14="http://schemas.microsoft.com/office/drawing/2010/main">
        <mc:Choice Requires="a14">
          <xdr:pic>
            <xdr:nvPicPr>
              <xdr:cNvPr id="3" name="Picture 2">
                <a:extLst>
                  <a:ext uri="{FF2B5EF4-FFF2-40B4-BE49-F238E27FC236}">
                    <a16:creationId xmlns:a16="http://schemas.microsoft.com/office/drawing/2014/main" id="{00000000-0008-0000-0000-000003000000}"/>
                  </a:ext>
                </a:extLst>
              </xdr:cNvPr>
              <xdr:cNvPicPr>
                <a:picLocks/>
                <a:extLst>
                  <a:ext uri="{84589F7E-364E-4C9E-8A38-B11213B215E9}">
                    <a14:cameraTool cellRange="Picture" spid="_x0000_s17038"/>
                  </a:ext>
                </a:extLst>
              </xdr:cNvPicPr>
            </xdr:nvPicPr>
            <xdr:blipFill rotWithShape="1">
              <a:blip xmlns:r="http://schemas.openxmlformats.org/officeDocument/2006/relationships" r:embed="rId2"/>
              <a:srcRect t="2026" b="2215"/>
              <a:stretch>
                <a:fillRect/>
              </a:stretch>
            </xdr:blipFill>
            <xdr:spPr>
              <a:xfrm>
                <a:off x="5751801" y="3391502"/>
                <a:ext cx="4933950" cy="3343275"/>
              </a:xfrm>
              <a:prstGeom prst="rect">
                <a:avLst/>
              </a:prstGeom>
            </xdr:spPr>
          </xdr:pic>
        </mc:Choice>
        <mc:Fallback xmlns=""/>
      </mc:AlternateContent>
      <xdr:sp macro="" textlink="'System Calculations'!P32">
        <xdr:nvSpPr>
          <xdr:cNvPr id="52" name="Rectangle 51">
            <a:extLst>
              <a:ext uri="{FF2B5EF4-FFF2-40B4-BE49-F238E27FC236}">
                <a16:creationId xmlns:a16="http://schemas.microsoft.com/office/drawing/2014/main" id="{00000000-0008-0000-0000-000034000000}"/>
              </a:ext>
            </a:extLst>
          </xdr:cNvPr>
          <xdr:cNvSpPr/>
        </xdr:nvSpPr>
        <xdr:spPr>
          <a:xfrm rot="314467">
            <a:off x="6999733" y="5595259"/>
            <a:ext cx="334816" cy="197250"/>
          </a:xfrm>
          <a:prstGeom prst="rect">
            <a:avLst/>
          </a:prstGeom>
          <a:solidFill>
            <a:schemeClr val="bg1"/>
          </a:solidFill>
          <a:ln>
            <a:noFill/>
          </a:ln>
          <a:scene3d>
            <a:camera prst="orthographicFront">
              <a:rot lat="0" lon="0" rev="19620000"/>
            </a:camera>
            <a:lightRig rig="threePt" dir="t"/>
          </a:scene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 anchorCtr="1"/>
          <a:lstStyle/>
          <a:p>
            <a:fld id="{FA51F319-B338-486B-B84A-5195693330CE}" type="TxLink">
              <a:rPr lang="en-US" sz="7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29.7 ft</a:t>
            </a:fld>
            <a:endParaRPr lang="en-US" sz="600">
              <a:latin typeface="Arial"/>
              <a:cs typeface="Arial"/>
            </a:endParaRPr>
          </a:p>
        </xdr:txBody>
      </xdr:sp>
      <xdr:sp macro="" textlink="'System Calculations'!P34">
        <xdr:nvSpPr>
          <xdr:cNvPr id="75" name="Rectangle 74">
            <a:extLst>
              <a:ext uri="{FF2B5EF4-FFF2-40B4-BE49-F238E27FC236}">
                <a16:creationId xmlns:a16="http://schemas.microsoft.com/office/drawing/2014/main" id="{00000000-0008-0000-0000-00004B000000}"/>
              </a:ext>
            </a:extLst>
          </xdr:cNvPr>
          <xdr:cNvSpPr/>
        </xdr:nvSpPr>
        <xdr:spPr>
          <a:xfrm rot="217356">
            <a:off x="6861627" y="5768196"/>
            <a:ext cx="365665" cy="133716"/>
          </a:xfrm>
          <a:prstGeom prst="rect">
            <a:avLst/>
          </a:prstGeom>
          <a:solidFill>
            <a:schemeClr val="bg1"/>
          </a:solidFill>
          <a:ln>
            <a:noFill/>
          </a:ln>
          <a:scene3d>
            <a:camera prst="orthographicFront">
              <a:rot lat="0" lon="0" rev="19620000"/>
            </a:camera>
            <a:lightRig rig="threePt" dir="t"/>
          </a:scene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 anchorCtr="1"/>
          <a:lstStyle/>
          <a:p>
            <a:fld id="{C3A53041-7B09-4C1B-8F84-2AFC13253BCC}" type="TxLink">
              <a:rPr lang="en-US" sz="7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31 ft</a:t>
            </a:fld>
            <a:endParaRPr lang="en-US" sz="600">
              <a:latin typeface="Arial"/>
              <a:cs typeface="Arial"/>
            </a:endParaRPr>
          </a:p>
        </xdr:txBody>
      </xdr:sp>
      <xdr:sp macro="" textlink="'System Calculations'!P36">
        <xdr:nvSpPr>
          <xdr:cNvPr id="76" name="Rectangle 75">
            <a:extLst>
              <a:ext uri="{FF2B5EF4-FFF2-40B4-BE49-F238E27FC236}">
                <a16:creationId xmlns:a16="http://schemas.microsoft.com/office/drawing/2014/main" id="{00000000-0008-0000-0000-00004C000000}"/>
              </a:ext>
            </a:extLst>
          </xdr:cNvPr>
          <xdr:cNvSpPr/>
        </xdr:nvSpPr>
        <xdr:spPr>
          <a:xfrm rot="408389">
            <a:off x="7100873" y="5405946"/>
            <a:ext cx="485640" cy="314422"/>
          </a:xfrm>
          <a:prstGeom prst="rect">
            <a:avLst/>
          </a:prstGeom>
          <a:solidFill>
            <a:schemeClr val="bg1"/>
          </a:solidFill>
          <a:ln>
            <a:noFill/>
          </a:ln>
          <a:scene3d>
            <a:camera prst="orthographicFront">
              <a:rot lat="0" lon="0" rev="19620000"/>
            </a:camera>
            <a:lightRig rig="threePt" dir="t"/>
          </a:scene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 anchorCtr="1"/>
          <a:lstStyle/>
          <a:p>
            <a:fld id="{EF34C35B-774A-4791-93AA-764CA99E8E28}" type="TxLink">
              <a:rPr lang="en-US" sz="7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26.3 ft</a:t>
            </a:fld>
            <a:endParaRPr lang="en-US" sz="600">
              <a:latin typeface="Arial"/>
              <a:cs typeface="Arial"/>
            </a:endParaRPr>
          </a:p>
        </xdr:txBody>
      </xdr:sp>
      <xdr:sp macro="" textlink="'System Calculations'!P31">
        <xdr:nvSpPr>
          <xdr:cNvPr id="77" name="Rectangle 76">
            <a:extLst>
              <a:ext uri="{FF2B5EF4-FFF2-40B4-BE49-F238E27FC236}">
                <a16:creationId xmlns:a16="http://schemas.microsoft.com/office/drawing/2014/main" id="{00000000-0008-0000-0000-00004D000000}"/>
              </a:ext>
            </a:extLst>
          </xdr:cNvPr>
          <xdr:cNvSpPr/>
        </xdr:nvSpPr>
        <xdr:spPr>
          <a:xfrm rot="21143326">
            <a:off x="9314913" y="5922669"/>
            <a:ext cx="367267" cy="134222"/>
          </a:xfrm>
          <a:prstGeom prst="rect">
            <a:avLst/>
          </a:prstGeom>
          <a:solidFill>
            <a:schemeClr val="bg1"/>
          </a:solidFill>
          <a:ln>
            <a:noFill/>
          </a:ln>
          <a:scene3d>
            <a:camera prst="orthographicFront">
              <a:rot lat="0" lon="0" rev="2040000"/>
            </a:camera>
            <a:lightRig rig="threePt" dir="t"/>
          </a:scene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 anchorCtr="1"/>
          <a:lstStyle/>
          <a:p>
            <a:fld id="{296924DE-0D98-419C-AAFA-91113FD54C66}" type="TxLink">
              <a:rPr lang="en-US" sz="7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9.6 ft</a:t>
            </a:fld>
            <a:endParaRPr lang="en-US" sz="600">
              <a:solidFill>
                <a:schemeClr val="tx1"/>
              </a:solidFill>
              <a:latin typeface="Arial"/>
              <a:cs typeface="Arial"/>
            </a:endParaRPr>
          </a:p>
        </xdr:txBody>
      </xdr:sp>
      <xdr:sp macro="" textlink="'System Calculations'!P33">
        <xdr:nvSpPr>
          <xdr:cNvPr id="78" name="Rectangle 77">
            <a:extLst>
              <a:ext uri="{FF2B5EF4-FFF2-40B4-BE49-F238E27FC236}">
                <a16:creationId xmlns:a16="http://schemas.microsoft.com/office/drawing/2014/main" id="{00000000-0008-0000-0000-00004E000000}"/>
              </a:ext>
            </a:extLst>
          </xdr:cNvPr>
          <xdr:cNvSpPr/>
        </xdr:nvSpPr>
        <xdr:spPr>
          <a:xfrm rot="21205849">
            <a:off x="9434397" y="6041539"/>
            <a:ext cx="443892" cy="134740"/>
          </a:xfrm>
          <a:prstGeom prst="rect">
            <a:avLst/>
          </a:prstGeom>
          <a:solidFill>
            <a:schemeClr val="bg1"/>
          </a:solidFill>
          <a:ln>
            <a:noFill/>
          </a:ln>
          <a:scene3d>
            <a:camera prst="orthographicFront">
              <a:rot lat="0" lon="0" rev="2040000"/>
            </a:camera>
            <a:lightRig rig="threePt" dir="t"/>
          </a:scene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 anchorCtr="1"/>
          <a:lstStyle/>
          <a:p>
            <a:fld id="{BAA9E90D-92F6-41F0-AC45-C978079CEA99}" type="TxLink">
              <a:rPr lang="en-US" sz="7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10.9 ft</a:t>
            </a:fld>
            <a:endParaRPr lang="en-US" sz="600">
              <a:latin typeface="Arial"/>
              <a:cs typeface="Arial"/>
            </a:endParaRP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60960</xdr:colOff>
          <xdr:row>9</xdr:row>
          <xdr:rowOff>114300</xdr:rowOff>
        </xdr:from>
        <xdr:to>
          <xdr:col>20</xdr:col>
          <xdr:colOff>22860</xdr:colOff>
          <xdr:row>11</xdr:row>
          <xdr:rowOff>7620</xdr:rowOff>
        </xdr:to>
        <xdr:sp macro="" textlink="">
          <xdr:nvSpPr>
            <xdr:cNvPr id="5818" name="Drop Down 698" hidden="1">
              <a:extLst>
                <a:ext uri="{63B3BB69-23CF-44E3-9099-C40C66FF867C}">
                  <a14:compatExt spid="_x0000_s5818"/>
                </a:ext>
                <a:ext uri="{FF2B5EF4-FFF2-40B4-BE49-F238E27FC236}">
                  <a16:creationId xmlns:a16="http://schemas.microsoft.com/office/drawing/2014/main" id="{00000000-0008-0000-0000-0000BA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83820</xdr:colOff>
          <xdr:row>10</xdr:row>
          <xdr:rowOff>7620</xdr:rowOff>
        </xdr:from>
        <xdr:to>
          <xdr:col>28</xdr:col>
          <xdr:colOff>83820</xdr:colOff>
          <xdr:row>11</xdr:row>
          <xdr:rowOff>0</xdr:rowOff>
        </xdr:to>
        <xdr:sp macro="" textlink="">
          <xdr:nvSpPr>
            <xdr:cNvPr id="5819" name="Drop Down 699" hidden="1">
              <a:extLst>
                <a:ext uri="{63B3BB69-23CF-44E3-9099-C40C66FF867C}">
                  <a14:compatExt spid="_x0000_s5819"/>
                </a:ext>
                <a:ext uri="{FF2B5EF4-FFF2-40B4-BE49-F238E27FC236}">
                  <a16:creationId xmlns:a16="http://schemas.microsoft.com/office/drawing/2014/main" id="{00000000-0008-0000-0000-0000BB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50</xdr:col>
          <xdr:colOff>106680</xdr:colOff>
          <xdr:row>10</xdr:row>
          <xdr:rowOff>7620</xdr:rowOff>
        </xdr:from>
        <xdr:to>
          <xdr:col>55</xdr:col>
          <xdr:colOff>182880</xdr:colOff>
          <xdr:row>11</xdr:row>
          <xdr:rowOff>7620</xdr:rowOff>
        </xdr:to>
        <xdr:sp macro="" textlink="">
          <xdr:nvSpPr>
            <xdr:cNvPr id="5820" name="Drop Down 700" hidden="1">
              <a:extLst>
                <a:ext uri="{63B3BB69-23CF-44E3-9099-C40C66FF867C}">
                  <a14:compatExt spid="_x0000_s5820"/>
                </a:ext>
                <a:ext uri="{FF2B5EF4-FFF2-40B4-BE49-F238E27FC236}">
                  <a16:creationId xmlns:a16="http://schemas.microsoft.com/office/drawing/2014/main" id="{00000000-0008-0000-0000-0000BC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68580</xdr:colOff>
          <xdr:row>10</xdr:row>
          <xdr:rowOff>7620</xdr:rowOff>
        </xdr:from>
        <xdr:to>
          <xdr:col>36</xdr:col>
          <xdr:colOff>68580</xdr:colOff>
          <xdr:row>11</xdr:row>
          <xdr:rowOff>22860</xdr:rowOff>
        </xdr:to>
        <xdr:sp macro="" textlink="">
          <xdr:nvSpPr>
            <xdr:cNvPr id="5823" name="Drop Down 703" hidden="1">
              <a:extLst>
                <a:ext uri="{63B3BB69-23CF-44E3-9099-C40C66FF867C}">
                  <a14:compatExt spid="_x0000_s5823"/>
                </a:ext>
                <a:ext uri="{FF2B5EF4-FFF2-40B4-BE49-F238E27FC236}">
                  <a16:creationId xmlns:a16="http://schemas.microsoft.com/office/drawing/2014/main" id="{00000000-0008-0000-0000-0000BF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60960</xdr:colOff>
          <xdr:row>10</xdr:row>
          <xdr:rowOff>22860</xdr:rowOff>
        </xdr:from>
        <xdr:to>
          <xdr:col>44</xdr:col>
          <xdr:colOff>68580</xdr:colOff>
          <xdr:row>11</xdr:row>
          <xdr:rowOff>22860</xdr:rowOff>
        </xdr:to>
        <xdr:sp macro="" textlink="">
          <xdr:nvSpPr>
            <xdr:cNvPr id="5824" name="Drop Down 704" hidden="1">
              <a:extLst>
                <a:ext uri="{63B3BB69-23CF-44E3-9099-C40C66FF867C}">
                  <a14:compatExt spid="_x0000_s5824"/>
                </a:ext>
                <a:ext uri="{FF2B5EF4-FFF2-40B4-BE49-F238E27FC236}">
                  <a16:creationId xmlns:a16="http://schemas.microsoft.com/office/drawing/2014/main" id="{00000000-0008-0000-0000-0000C0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7</xdr:col>
      <xdr:colOff>125695</xdr:colOff>
      <xdr:row>44</xdr:row>
      <xdr:rowOff>139769</xdr:rowOff>
    </xdr:from>
    <xdr:to>
      <xdr:col>52</xdr:col>
      <xdr:colOff>36317</xdr:colOff>
      <xdr:row>45</xdr:row>
      <xdr:rowOff>114300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524013" y="7950269"/>
          <a:ext cx="8509099" cy="12173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500" baseline="0">
              <a:latin typeface="Arial"/>
              <a:cs typeface="Arial"/>
            </a:rPr>
            <a:t>This tool is intended to assist in sizing stormwater management systems using Prinsco products. It should be used for estimating purposes only and is not intended to be a final design tool.  The design engineer needs to verify all the values and ensure they meet all project design criteria.</a:t>
          </a:r>
          <a:endParaRPr lang="en-US" sz="500">
            <a:latin typeface="Arial"/>
            <a:cs typeface="Arial"/>
          </a:endParaRPr>
        </a:p>
      </xdr:txBody>
    </xdr:sp>
    <xdr:clientData/>
  </xdr:twoCellAnchor>
  <xdr:twoCellAnchor>
    <xdr:from>
      <xdr:col>12</xdr:col>
      <xdr:colOff>40058</xdr:colOff>
      <xdr:row>43</xdr:row>
      <xdr:rowOff>77985</xdr:rowOff>
    </xdr:from>
    <xdr:to>
      <xdr:col>46</xdr:col>
      <xdr:colOff>28927</xdr:colOff>
      <xdr:row>45</xdr:row>
      <xdr:rowOff>25649</xdr:rowOff>
    </xdr:to>
    <xdr:sp macro="" textlink="">
      <xdr:nvSpPr>
        <xdr:cNvPr id="7" name="TextBox 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2262558" y="7809110"/>
          <a:ext cx="6950057" cy="23341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Prinsco, Inc.  I   1717 16th St NE  I   Willmar, MN 56201  I  320.222.6800  I  800.992.1725  I  prinsco.com</a:t>
          </a:r>
        </a:p>
      </xdr:txBody>
    </xdr:sp>
    <xdr:clientData/>
  </xdr:twoCellAnchor>
  <xdr:twoCellAnchor>
    <xdr:from>
      <xdr:col>9</xdr:col>
      <xdr:colOff>51957</xdr:colOff>
      <xdr:row>42</xdr:row>
      <xdr:rowOff>27434</xdr:rowOff>
    </xdr:from>
    <xdr:to>
      <xdr:col>50</xdr:col>
      <xdr:colOff>34639</xdr:colOff>
      <xdr:row>43</xdr:row>
      <xdr:rowOff>55565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1655332" y="7631559"/>
          <a:ext cx="8166245" cy="17100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8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ASSISTANCE:  </a:t>
          </a:r>
          <a:r>
            <a:rPr lang="en-US" sz="800">
              <a:latin typeface="Arial" panose="020B0604020202020204" pitchFamily="34" charset="0"/>
              <a:cs typeface="Arial" panose="020B0604020202020204" pitchFamily="34" charset="0"/>
            </a:rPr>
            <a:t>For assistance with design, drawings or pricing please have your completed system design aid ready, and contact your Prinsco sales representative</a:t>
          </a:r>
        </a:p>
      </xdr:txBody>
    </xdr:sp>
    <xdr:clientData/>
  </xdr:twoCellAnchor>
  <xdr:twoCellAnchor>
    <xdr:from>
      <xdr:col>36</xdr:col>
      <xdr:colOff>194098</xdr:colOff>
      <xdr:row>10</xdr:row>
      <xdr:rowOff>14983</xdr:rowOff>
    </xdr:from>
    <xdr:to>
      <xdr:col>40</xdr:col>
      <xdr:colOff>38100</xdr:colOff>
      <xdr:row>11</xdr:row>
      <xdr:rowOff>22859</xdr:rowOff>
    </xdr:to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 txBox="1"/>
      </xdr:nvSpPr>
      <xdr:spPr>
        <a:xfrm>
          <a:off x="6984365" y="2055450"/>
          <a:ext cx="622935" cy="23647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square" lIns="0" tIns="0" rIns="0" bIns="0" rtlCol="0" anchor="ctr"/>
        <a:lstStyle/>
        <a:p>
          <a:pPr algn="r"/>
          <a:r>
            <a:rPr lang="en-US" sz="800">
              <a:latin typeface="Arial" panose="020B0604020202020204" pitchFamily="34" charset="0"/>
              <a:cs typeface="Arial" panose="020B0604020202020204" pitchFamily="34" charset="0"/>
            </a:rPr>
            <a:t>Lateral Diameter</a:t>
          </a:r>
        </a:p>
      </xdr:txBody>
    </xdr:sp>
    <xdr:clientData/>
  </xdr:twoCellAnchor>
  <xdr:twoCellAnchor>
    <xdr:from>
      <xdr:col>21</xdr:col>
      <xdr:colOff>90609</xdr:colOff>
      <xdr:row>9</xdr:row>
      <xdr:rowOff>33021</xdr:rowOff>
    </xdr:from>
    <xdr:to>
      <xdr:col>24</xdr:col>
      <xdr:colOff>56339</xdr:colOff>
      <xdr:row>11</xdr:row>
      <xdr:rowOff>114300</xdr:rowOff>
    </xdr:to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 txBox="1"/>
      </xdr:nvSpPr>
      <xdr:spPr>
        <a:xfrm>
          <a:off x="3959876" y="1954954"/>
          <a:ext cx="549930" cy="42841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square" lIns="0" tIns="0" rIns="0" bIns="0" rtlCol="0" anchor="ctr"/>
        <a:lstStyle/>
        <a:p>
          <a:pPr algn="r"/>
          <a:r>
            <a:rPr lang="en-US" sz="800">
              <a:latin typeface="Arial" panose="020B0604020202020204" pitchFamily="34" charset="0"/>
              <a:cs typeface="Arial" panose="020B0604020202020204" pitchFamily="34" charset="0"/>
            </a:rPr>
            <a:t>Number of Headers</a:t>
          </a:r>
        </a:p>
      </xdr:txBody>
    </xdr:sp>
    <xdr:clientData/>
  </xdr:twoCellAnchor>
  <xdr:twoCellAnchor>
    <xdr:from>
      <xdr:col>28</xdr:col>
      <xdr:colOff>94283</xdr:colOff>
      <xdr:row>9</xdr:row>
      <xdr:rowOff>22667</xdr:rowOff>
    </xdr:from>
    <xdr:to>
      <xdr:col>32</xdr:col>
      <xdr:colOff>52495</xdr:colOff>
      <xdr:row>11</xdr:row>
      <xdr:rowOff>114211</xdr:rowOff>
    </xdr:to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 txBox="1"/>
      </xdr:nvSpPr>
      <xdr:spPr>
        <a:xfrm>
          <a:off x="5326683" y="1944600"/>
          <a:ext cx="737145" cy="43867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square" lIns="0" tIns="0" rIns="0" bIns="0" rtlCol="0" anchor="ctr"/>
        <a:lstStyle/>
        <a:p>
          <a:pPr algn="r"/>
          <a:r>
            <a:rPr lang="en-US" sz="800">
              <a:latin typeface="Arial" panose="020B0604020202020204" pitchFamily="34" charset="0"/>
              <a:cs typeface="Arial" panose="020B0604020202020204" pitchFamily="34" charset="0"/>
            </a:rPr>
            <a:t>Header</a:t>
          </a:r>
        </a:p>
        <a:p>
          <a:pPr algn="r"/>
          <a:r>
            <a:rPr lang="en-US" sz="800">
              <a:latin typeface="Arial" panose="020B0604020202020204" pitchFamily="34" charset="0"/>
              <a:cs typeface="Arial" panose="020B0604020202020204" pitchFamily="34" charset="0"/>
            </a:rPr>
            <a:t> Diameter</a:t>
          </a:r>
        </a:p>
      </xdr:txBody>
    </xdr:sp>
    <xdr:clientData/>
  </xdr:twoCellAnchor>
  <xdr:twoCellAnchor>
    <xdr:from>
      <xdr:col>13</xdr:col>
      <xdr:colOff>43075</xdr:colOff>
      <xdr:row>9</xdr:row>
      <xdr:rowOff>92410</xdr:rowOff>
    </xdr:from>
    <xdr:to>
      <xdr:col>16</xdr:col>
      <xdr:colOff>4251</xdr:colOff>
      <xdr:row>11</xdr:row>
      <xdr:rowOff>14623</xdr:rowOff>
    </xdr:to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 txBox="1"/>
      </xdr:nvSpPr>
      <xdr:spPr>
        <a:xfrm>
          <a:off x="2367175" y="2016460"/>
          <a:ext cx="561251" cy="26511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square" lIns="0" tIns="0" rIns="0" bIns="0" rtlCol="0" anchor="ctr"/>
        <a:lstStyle/>
        <a:p>
          <a:pPr algn="r"/>
          <a:r>
            <a:rPr lang="en-US" sz="800">
              <a:latin typeface="Arial" panose="020B0604020202020204" pitchFamily="34" charset="0"/>
              <a:cs typeface="Arial" panose="020B0604020202020204" pitchFamily="34" charset="0"/>
            </a:rPr>
            <a:t>Pipe </a:t>
          </a:r>
        </a:p>
        <a:p>
          <a:pPr algn="r"/>
          <a:r>
            <a:rPr lang="en-US" sz="800">
              <a:latin typeface="Arial" panose="020B0604020202020204" pitchFamily="34" charset="0"/>
              <a:cs typeface="Arial" panose="020B0604020202020204" pitchFamily="34" charset="0"/>
            </a:rPr>
            <a:t>Type</a:t>
          </a:r>
        </a:p>
      </xdr:txBody>
    </xdr:sp>
    <xdr:clientData/>
  </xdr:twoCellAnchor>
  <xdr:twoCellAnchor>
    <xdr:from>
      <xdr:col>45</xdr:col>
      <xdr:colOff>71438</xdr:colOff>
      <xdr:row>9</xdr:row>
      <xdr:rowOff>105306</xdr:rowOff>
    </xdr:from>
    <xdr:to>
      <xdr:col>50</xdr:col>
      <xdr:colOff>76202</xdr:colOff>
      <xdr:row>11</xdr:row>
      <xdr:rowOff>50800</xdr:rowOff>
    </xdr:to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 txBox="1"/>
      </xdr:nvSpPr>
      <xdr:spPr>
        <a:xfrm>
          <a:off x="8614305" y="2027239"/>
          <a:ext cx="724430" cy="29262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square" lIns="0" tIns="0" rIns="0" bIns="0" rtlCol="0" anchor="ctr"/>
        <a:lstStyle/>
        <a:p>
          <a:pPr algn="r"/>
          <a:r>
            <a:rPr lang="en-US" sz="800">
              <a:latin typeface="Arial" panose="020B0604020202020204" pitchFamily="34" charset="0"/>
              <a:cs typeface="Arial" panose="020B0604020202020204" pitchFamily="34" charset="0"/>
            </a:rPr>
            <a:t>Include Header Volume</a:t>
          </a:r>
        </a:p>
      </xdr:txBody>
    </xdr:sp>
    <xdr:clientData/>
  </xdr:twoCellAnchor>
  <xdr:twoCellAnchor>
    <xdr:from>
      <xdr:col>37</xdr:col>
      <xdr:colOff>16404</xdr:colOff>
      <xdr:row>38</xdr:row>
      <xdr:rowOff>15350</xdr:rowOff>
    </xdr:from>
    <xdr:to>
      <xdr:col>41</xdr:col>
      <xdr:colOff>56091</xdr:colOff>
      <xdr:row>40</xdr:row>
      <xdr:rowOff>72848</xdr:rowOff>
    </xdr:to>
    <xdr:sp macro="" textlink="">
      <xdr:nvSpPr>
        <xdr:cNvPr id="62" name="TextBox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 txBox="1"/>
      </xdr:nvSpPr>
      <xdr:spPr>
        <a:xfrm>
          <a:off x="7001404" y="7440617"/>
          <a:ext cx="818620" cy="43849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square" lIns="0" tIns="0" rIns="0" bIns="0" rtlCol="0" anchor="ctr"/>
        <a:lstStyle/>
        <a:p>
          <a:pPr algn="ctr"/>
          <a:r>
            <a:rPr lang="en-US" sz="800">
              <a:latin typeface="Arial" panose="020B0604020202020204" pitchFamily="34" charset="0"/>
              <a:cs typeface="Arial" panose="020B0604020202020204" pitchFamily="34" charset="0"/>
            </a:rPr>
            <a:t>Required Stone    </a:t>
          </a:r>
          <a:r>
            <a:rPr lang="en-US" sz="600">
              <a:latin typeface="Arial" panose="020B0604020202020204" pitchFamily="34" charset="0"/>
              <a:cs typeface="Arial" panose="020B0604020202020204" pitchFamily="34" charset="0"/>
            </a:rPr>
            <a:t>(For Initial Backfill)</a:t>
          </a:r>
        </a:p>
      </xdr:txBody>
    </xdr:sp>
    <xdr:clientData/>
  </xdr:twoCellAnchor>
  <xdr:twoCellAnchor>
    <xdr:from>
      <xdr:col>5</xdr:col>
      <xdr:colOff>20759</xdr:colOff>
      <xdr:row>32</xdr:row>
      <xdr:rowOff>153865</xdr:rowOff>
    </xdr:from>
    <xdr:to>
      <xdr:col>6</xdr:col>
      <xdr:colOff>196079</xdr:colOff>
      <xdr:row>33</xdr:row>
      <xdr:rowOff>210014</xdr:rowOff>
    </xdr:to>
    <xdr:sp macro="" textlink="">
      <xdr:nvSpPr>
        <xdr:cNvPr id="65" name="TextBox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 txBox="1"/>
      </xdr:nvSpPr>
      <xdr:spPr>
        <a:xfrm>
          <a:off x="735134" y="6583240"/>
          <a:ext cx="384870" cy="26569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square" lIns="0" tIns="0" rIns="0" bIns="0" rtlCol="0" anchor="ctr"/>
        <a:lstStyle/>
        <a:p>
          <a:pPr algn="r"/>
          <a:r>
            <a:rPr lang="en-US" sz="8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NOTES</a:t>
          </a:r>
          <a:r>
            <a:rPr lang="en-US" sz="8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:</a:t>
          </a:r>
        </a:p>
      </xdr:txBody>
    </xdr:sp>
    <xdr:clientData/>
  </xdr:twoCellAnchor>
  <xdr:twoCellAnchor>
    <xdr:from>
      <xdr:col>44</xdr:col>
      <xdr:colOff>198045</xdr:colOff>
      <xdr:row>22</xdr:row>
      <xdr:rowOff>221717</xdr:rowOff>
    </xdr:from>
    <xdr:to>
      <xdr:col>51</xdr:col>
      <xdr:colOff>37932</xdr:colOff>
      <xdr:row>24</xdr:row>
      <xdr:rowOff>55576</xdr:rowOff>
    </xdr:to>
    <xdr:sp macro="" textlink="">
      <xdr:nvSpPr>
        <xdr:cNvPr id="70" name="TextBox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 txBox="1"/>
      </xdr:nvSpPr>
      <xdr:spPr>
        <a:xfrm>
          <a:off x="9024545" y="3769780"/>
          <a:ext cx="951137" cy="310109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ctr"/>
        <a:lstStyle/>
        <a:p>
          <a:pPr algn="ctr"/>
          <a:r>
            <a:rPr lang="en-US" sz="500" baseline="0">
              <a:solidFill>
                <a:schemeClr val="dk1"/>
              </a:solidFill>
              <a:latin typeface="Arial"/>
              <a:cs typeface="Arial"/>
            </a:rPr>
            <a:t>System details do not depict actual number of laterals, sticks of pipe or risers/cleanouts. </a:t>
          </a:r>
          <a:endParaRPr lang="en-US" sz="500">
            <a:solidFill>
              <a:schemeClr val="dk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34</xdr:col>
      <xdr:colOff>144272</xdr:colOff>
      <xdr:row>11</xdr:row>
      <xdr:rowOff>174792</xdr:rowOff>
    </xdr:from>
    <xdr:to>
      <xdr:col>48</xdr:col>
      <xdr:colOff>105304</xdr:colOff>
      <xdr:row>13</xdr:row>
      <xdr:rowOff>24106</xdr:rowOff>
    </xdr:to>
    <xdr:sp macro="" textlink="">
      <xdr:nvSpPr>
        <xdr:cNvPr id="9" name="Rounded Rectangl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6545072" y="2443859"/>
          <a:ext cx="2534899" cy="314980"/>
        </a:xfrm>
        <a:prstGeom prst="round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34</xdr:col>
      <xdr:colOff>122668</xdr:colOff>
      <xdr:row>11</xdr:row>
      <xdr:rowOff>179107</xdr:rowOff>
    </xdr:from>
    <xdr:to>
      <xdr:col>37</xdr:col>
      <xdr:colOff>70170</xdr:colOff>
      <xdr:row>13</xdr:row>
      <xdr:rowOff>33193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6523468" y="2448174"/>
          <a:ext cx="531702" cy="31975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square" rtlCol="0" anchor="ctr"/>
        <a:lstStyle/>
        <a:p>
          <a:pPr algn="r"/>
          <a:r>
            <a:rPr lang="en-US" sz="800">
              <a:latin typeface="Arial" panose="020B0604020202020204" pitchFamily="34" charset="0"/>
              <a:cs typeface="Arial" panose="020B0604020202020204" pitchFamily="34" charset="0"/>
            </a:rPr>
            <a:t>System Length</a:t>
          </a:r>
        </a:p>
      </xdr:txBody>
    </xdr:sp>
    <xdr:clientData/>
  </xdr:twoCellAnchor>
  <xdr:twoCellAnchor>
    <xdr:from>
      <xdr:col>40</xdr:col>
      <xdr:colOff>182879</xdr:colOff>
      <xdr:row>11</xdr:row>
      <xdr:rowOff>172635</xdr:rowOff>
    </xdr:from>
    <xdr:to>
      <xdr:col>44</xdr:col>
      <xdr:colOff>45993</xdr:colOff>
      <xdr:row>13</xdr:row>
      <xdr:rowOff>35343</xdr:rowOff>
    </xdr:to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/>
      </xdr:nvSpPr>
      <xdr:spPr>
        <a:xfrm>
          <a:off x="7752079" y="2441702"/>
          <a:ext cx="642047" cy="32837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square" rtlCol="0" anchor="ctr"/>
        <a:lstStyle/>
        <a:p>
          <a:pPr algn="r"/>
          <a:r>
            <a:rPr lang="en-US" sz="800">
              <a:latin typeface="Arial" panose="020B0604020202020204" pitchFamily="34" charset="0"/>
              <a:cs typeface="Arial" panose="020B0604020202020204" pitchFamily="34" charset="0"/>
            </a:rPr>
            <a:t>Lateral Length</a:t>
          </a:r>
        </a:p>
      </xdr:txBody>
    </xdr:sp>
    <xdr:clientData/>
  </xdr:twoCellAnchor>
  <xdr:twoCellAnchor>
    <xdr:from>
      <xdr:col>44</xdr:col>
      <xdr:colOff>111131</xdr:colOff>
      <xdr:row>37</xdr:row>
      <xdr:rowOff>175582</xdr:rowOff>
    </xdr:from>
    <xdr:to>
      <xdr:col>54</xdr:col>
      <xdr:colOff>123324</xdr:colOff>
      <xdr:row>40</xdr:row>
      <xdr:rowOff>73178</xdr:rowOff>
    </xdr:to>
    <xdr:sp macro="" textlink="">
      <xdr:nvSpPr>
        <xdr:cNvPr id="80" name="TextBox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 txBox="1"/>
      </xdr:nvSpPr>
      <xdr:spPr>
        <a:xfrm>
          <a:off x="8459264" y="7533115"/>
          <a:ext cx="1502327" cy="45639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square" lIns="0" tIns="0" rIns="0" bIns="0" rtlCol="0" anchor="ctr"/>
        <a:lstStyle/>
        <a:p>
          <a:pPr algn="ctr"/>
          <a:r>
            <a:rPr lang="en-US" sz="800">
              <a:latin typeface="Arial" panose="020B0604020202020204" pitchFamily="34" charset="0"/>
              <a:cs typeface="Arial" panose="020B0604020202020204" pitchFamily="34" charset="0"/>
            </a:rPr>
            <a:t>Non-Woven</a:t>
          </a:r>
          <a:r>
            <a:rPr lang="en-US" sz="800" baseline="0">
              <a:latin typeface="Arial" panose="020B0604020202020204" pitchFamily="34" charset="0"/>
              <a:cs typeface="Arial" panose="020B0604020202020204" pitchFamily="34" charset="0"/>
            </a:rPr>
            <a:t> Geotextile                   </a:t>
          </a:r>
          <a:r>
            <a:rPr lang="en-US" sz="600" baseline="0">
              <a:latin typeface="Arial" panose="020B0604020202020204" pitchFamily="34" charset="0"/>
              <a:cs typeface="Arial" panose="020B0604020202020204" pitchFamily="34" charset="0"/>
            </a:rPr>
            <a:t>(When Required - Includes 20% Overlap)</a:t>
          </a:r>
          <a:endParaRPr lang="en-US" sz="6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28</xdr:col>
      <xdr:colOff>152400</xdr:colOff>
      <xdr:row>19</xdr:row>
      <xdr:rowOff>0</xdr:rowOff>
    </xdr:from>
    <xdr:to>
      <xdr:col>55</xdr:col>
      <xdr:colOff>0</xdr:colOff>
      <xdr:row>35</xdr:row>
      <xdr:rowOff>94932</xdr:rowOff>
    </xdr:to>
    <xdr:sp macro="" textlink="">
      <xdr:nvSpPr>
        <xdr:cNvPr id="10671" name="AutoShape 1455">
          <a:extLst>
            <a:ext uri="{FF2B5EF4-FFF2-40B4-BE49-F238E27FC236}">
              <a16:creationId xmlns:a16="http://schemas.microsoft.com/office/drawing/2014/main" id="{00000000-0008-0000-0000-0000AF290000}"/>
            </a:ext>
          </a:extLst>
        </xdr:cNvPr>
        <xdr:cNvSpPr>
          <a:spLocks noChangeAspect="1" noChangeArrowheads="1"/>
        </xdr:cNvSpPr>
      </xdr:nvSpPr>
      <xdr:spPr bwMode="auto">
        <a:xfrm>
          <a:off x="5753100" y="3009900"/>
          <a:ext cx="4933950" cy="3295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127000</xdr:colOff>
      <xdr:row>0</xdr:row>
      <xdr:rowOff>25400</xdr:rowOff>
    </xdr:from>
    <xdr:to>
      <xdr:col>16</xdr:col>
      <xdr:colOff>212622</xdr:colOff>
      <xdr:row>2</xdr:row>
      <xdr:rowOff>269663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46667" y="25400"/>
          <a:ext cx="2261978" cy="863600"/>
        </a:xfrm>
        <a:prstGeom prst="rect">
          <a:avLst/>
        </a:prstGeom>
      </xdr:spPr>
    </xdr:pic>
    <xdr:clientData/>
  </xdr:twoCellAnchor>
  <xdr:twoCellAnchor>
    <xdr:from>
      <xdr:col>34</xdr:col>
      <xdr:colOff>160866</xdr:colOff>
      <xdr:row>14</xdr:row>
      <xdr:rowOff>101601</xdr:rowOff>
    </xdr:from>
    <xdr:to>
      <xdr:col>48</xdr:col>
      <xdr:colOff>84667</xdr:colOff>
      <xdr:row>16</xdr:row>
      <xdr:rowOff>177800</xdr:rowOff>
    </xdr:to>
    <xdr:sp macro="[0]!Module2.Macro3" textlink="">
      <xdr:nvSpPr>
        <xdr:cNvPr id="14" name="Rectangl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6544733" y="2912534"/>
          <a:ext cx="2497667" cy="423333"/>
        </a:xfrm>
        <a:prstGeom prst="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>
              <a:solidFill>
                <a:srgbClr val="FDE021"/>
              </a:solidFill>
            </a:rPr>
            <a:t>CALCULATE SYSTEM</a:t>
          </a:r>
        </a:p>
        <a:p>
          <a:pPr algn="ctr"/>
          <a:r>
            <a:rPr lang="en-US" sz="900">
              <a:solidFill>
                <a:srgbClr val="FDE021"/>
              </a:solidFill>
            </a:rPr>
            <a:t>(Click</a:t>
          </a:r>
          <a:r>
            <a:rPr lang="en-US" sz="900" baseline="0">
              <a:solidFill>
                <a:srgbClr val="FDE021"/>
              </a:solidFill>
            </a:rPr>
            <a:t> here after updating system variables)</a:t>
          </a:r>
          <a:endParaRPr lang="en-US" sz="900">
            <a:solidFill>
              <a:srgbClr val="FDE02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182880</xdr:colOff>
          <xdr:row>10</xdr:row>
          <xdr:rowOff>22860</xdr:rowOff>
        </xdr:from>
        <xdr:to>
          <xdr:col>12</xdr:col>
          <xdr:colOff>175260</xdr:colOff>
          <xdr:row>11</xdr:row>
          <xdr:rowOff>7620</xdr:rowOff>
        </xdr:to>
        <xdr:sp macro="" textlink="">
          <xdr:nvSpPr>
            <xdr:cNvPr id="16515" name="Drop Down 2179" hidden="1">
              <a:extLst>
                <a:ext uri="{63B3BB69-23CF-44E3-9099-C40C66FF867C}">
                  <a14:compatExt spid="_x0000_s16515"/>
                </a:ext>
                <a:ext uri="{FF2B5EF4-FFF2-40B4-BE49-F238E27FC236}">
                  <a16:creationId xmlns:a16="http://schemas.microsoft.com/office/drawing/2014/main" id="{00000000-0008-0000-0000-000083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18</xdr:col>
      <xdr:colOff>61383</xdr:colOff>
      <xdr:row>31</xdr:row>
      <xdr:rowOff>78953</xdr:rowOff>
    </xdr:from>
    <xdr:to>
      <xdr:col>21</xdr:col>
      <xdr:colOff>61383</xdr:colOff>
      <xdr:row>31</xdr:row>
      <xdr:rowOff>228178</xdr:rowOff>
    </xdr:to>
    <xdr:sp macro="" textlink="'System Calculations'!P41">
      <xdr:nvSpPr>
        <xdr:cNvPr id="18" name="Rectangl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3658023" y="6220673"/>
          <a:ext cx="640080" cy="149225"/>
        </a:xfrm>
        <a:prstGeom prst="rect">
          <a:avLst/>
        </a:prstGeom>
        <a:solidFill>
          <a:sysClr val="window" lastClr="FFFF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fld id="{8A6774BA-1449-4DE2-8E3A-E78DE900A4B7}" type="TxLink">
            <a:rPr lang="en-US" sz="700" b="0" i="0" u="none" strike="noStrike">
              <a:solidFill>
                <a:srgbClr val="000000"/>
              </a:solidFill>
              <a:latin typeface="Arial"/>
              <a:cs typeface="Arial"/>
            </a:rPr>
            <a:pPr algn="l"/>
            <a:t>10.6 in</a:t>
          </a:fld>
          <a:endParaRPr lang="en-US" sz="1050"/>
        </a:p>
      </xdr:txBody>
    </xdr:sp>
    <xdr:clientData/>
  </xdr:twoCellAnchor>
  <xdr:twoCellAnchor>
    <xdr:from>
      <xdr:col>18</xdr:col>
      <xdr:colOff>5080</xdr:colOff>
      <xdr:row>31</xdr:row>
      <xdr:rowOff>233257</xdr:rowOff>
    </xdr:from>
    <xdr:to>
      <xdr:col>21</xdr:col>
      <xdr:colOff>84455</xdr:colOff>
      <xdr:row>32</xdr:row>
      <xdr:rowOff>159384</xdr:rowOff>
    </xdr:to>
    <xdr:sp macro="" textlink="'System Calculations'!P40">
      <xdr:nvSpPr>
        <xdr:cNvPr id="19" name="Rectangl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3601720" y="6374977"/>
          <a:ext cx="719455" cy="17758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fld id="{35DB90DA-CEE1-429E-AC4F-51BAE937CA93}" type="TxLink">
            <a:rPr lang="en-US" sz="700" b="0" i="0" u="none" strike="noStrike">
              <a:solidFill>
                <a:srgbClr val="000000"/>
              </a:solidFill>
              <a:latin typeface="Arial"/>
              <a:cs typeface="Arial"/>
            </a:rPr>
            <a:pPr algn="l"/>
            <a:t>25.2 in</a:t>
          </a:fld>
          <a:endParaRPr lang="en-US" sz="1000"/>
        </a:p>
      </xdr:txBody>
    </xdr:sp>
    <xdr:clientData/>
  </xdr:twoCellAnchor>
  <xdr:twoCellAnchor>
    <xdr:from>
      <xdr:col>23</xdr:col>
      <xdr:colOff>98427</xdr:colOff>
      <xdr:row>31</xdr:row>
      <xdr:rowOff>135891</xdr:rowOff>
    </xdr:from>
    <xdr:to>
      <xdr:col>26</xdr:col>
      <xdr:colOff>98427</xdr:colOff>
      <xdr:row>32</xdr:row>
      <xdr:rowOff>32597</xdr:rowOff>
    </xdr:to>
    <xdr:sp macro="" textlink="'System Calculations'!P39">
      <xdr:nvSpPr>
        <xdr:cNvPr id="20" name="Rectangl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4761867" y="6277611"/>
          <a:ext cx="640080" cy="148166"/>
        </a:xfrm>
        <a:prstGeom prst="rect">
          <a:avLst/>
        </a:prstGeom>
        <a:solidFill>
          <a:sysClr val="window" lastClr="FFFF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fld id="{CFFB503A-DE85-417C-A064-71E43B63036E}" type="TxLink">
            <a:rPr lang="en-US" sz="700" b="0" i="0" u="none" strike="noStrike">
              <a:solidFill>
                <a:srgbClr val="000000"/>
              </a:solidFill>
              <a:latin typeface="Arial"/>
              <a:cs typeface="Arial"/>
            </a:rPr>
            <a:pPr algn="l"/>
            <a:t>8 in</a:t>
          </a:fld>
          <a:endParaRPr lang="en-US" sz="900"/>
        </a:p>
      </xdr:txBody>
    </xdr:sp>
    <xdr:clientData/>
  </xdr:twoCellAnchor>
  <xdr:twoCellAnchor>
    <xdr:from>
      <xdr:col>27</xdr:col>
      <xdr:colOff>74084</xdr:colOff>
      <xdr:row>28</xdr:row>
      <xdr:rowOff>165100</xdr:rowOff>
    </xdr:from>
    <xdr:to>
      <xdr:col>30</xdr:col>
      <xdr:colOff>107950</xdr:colOff>
      <xdr:row>29</xdr:row>
      <xdr:rowOff>89323</xdr:rowOff>
    </xdr:to>
    <xdr:sp macro="" textlink="'System Calculations'!P38">
      <xdr:nvSpPr>
        <xdr:cNvPr id="21" name="Rectangle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5590964" y="5689600"/>
          <a:ext cx="673946" cy="152823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fld id="{FF53207F-51C3-43ED-B71C-6746B08CD17E}" type="TxLink">
            <a:rPr lang="en-US" sz="700" b="0" i="0" u="none" strike="noStrike">
              <a:solidFill>
                <a:srgbClr val="000000"/>
              </a:solidFill>
              <a:latin typeface="Arial"/>
              <a:cs typeface="Arial"/>
            </a:rPr>
            <a:pPr algn="l"/>
            <a:t>4 in</a:t>
          </a:fld>
          <a:endParaRPr lang="en-US" sz="800"/>
        </a:p>
      </xdr:txBody>
    </xdr:sp>
    <xdr:clientData/>
  </xdr:twoCellAnchor>
  <xdr:twoCellAnchor>
    <xdr:from>
      <xdr:col>28</xdr:col>
      <xdr:colOff>95886</xdr:colOff>
      <xdr:row>24</xdr:row>
      <xdr:rowOff>233257</xdr:rowOff>
    </xdr:from>
    <xdr:to>
      <xdr:col>31</xdr:col>
      <xdr:colOff>37043</xdr:colOff>
      <xdr:row>25</xdr:row>
      <xdr:rowOff>144780</xdr:rowOff>
    </xdr:to>
    <xdr:sp macro="" textlink="'System Calculations'!P35">
      <xdr:nvSpPr>
        <xdr:cNvPr id="22" name="Rectangle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5826126" y="4812877"/>
          <a:ext cx="649817" cy="147743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fld id="{9946E960-1616-45DF-BBFD-623291F7D4B9}" type="TxLink">
            <a:rPr lang="en-US" sz="700" b="0" i="0" u="none" strike="noStrike">
              <a:solidFill>
                <a:srgbClr val="000000"/>
              </a:solidFill>
              <a:latin typeface="Arial"/>
              <a:cs typeface="Arial"/>
            </a:rPr>
            <a:pPr algn="l"/>
            <a:t>12.9 ft</a:t>
          </a:fld>
          <a:endParaRPr lang="en-US" sz="800"/>
        </a:p>
      </xdr:txBody>
    </xdr:sp>
    <xdr:clientData/>
  </xdr:twoCellAnchor>
  <xdr:twoCellAnchor>
    <xdr:from>
      <xdr:col>26</xdr:col>
      <xdr:colOff>146052</xdr:colOff>
      <xdr:row>25</xdr:row>
      <xdr:rowOff>86360</xdr:rowOff>
    </xdr:from>
    <xdr:to>
      <xdr:col>29</xdr:col>
      <xdr:colOff>146052</xdr:colOff>
      <xdr:row>26</xdr:row>
      <xdr:rowOff>1270</xdr:rowOff>
    </xdr:to>
    <xdr:sp macro="" textlink="'System Calculations'!P37">
      <xdr:nvSpPr>
        <xdr:cNvPr id="23" name="Rectangle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5449572" y="4902200"/>
          <a:ext cx="640080" cy="1511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fld id="{640B15A6-F2DD-4AF8-9178-1078B7EE5F47}" type="TxLink">
            <a:rPr lang="en-US" sz="700" b="0" i="0" u="none" strike="noStrike">
              <a:solidFill>
                <a:srgbClr val="000000"/>
              </a:solidFill>
              <a:latin typeface="Arial"/>
              <a:cs typeface="Arial"/>
            </a:rPr>
            <a:pPr algn="l"/>
            <a:t>0 in</a:t>
          </a:fld>
          <a:endParaRPr lang="en-US" sz="7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584200</xdr:colOff>
      <xdr:row>2</xdr:row>
      <xdr:rowOff>25400</xdr:rowOff>
    </xdr:from>
    <xdr:to>
      <xdr:col>16</xdr:col>
      <xdr:colOff>533400</xdr:colOff>
      <xdr:row>5</xdr:row>
      <xdr:rowOff>93133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9491133" y="321733"/>
          <a:ext cx="3539067" cy="838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u="sng"/>
            <a:t>Engineer Notes:</a:t>
          </a:r>
        </a:p>
        <a:p>
          <a:r>
            <a:rPr lang="en-US" sz="1100" u="none"/>
            <a:t>Calculations are left the same, but conversions are made</a:t>
          </a:r>
          <a:r>
            <a:rPr lang="en-US" sz="1100" u="none" baseline="0"/>
            <a:t> now if Metric is chosen.</a:t>
          </a:r>
          <a:endParaRPr lang="en-US" sz="1100" u="none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6096</xdr:rowOff>
    </xdr:from>
    <xdr:to>
      <xdr:col>1</xdr:col>
      <xdr:colOff>4591812</xdr:colOff>
      <xdr:row>1</xdr:row>
      <xdr:rowOff>3048</xdr:rowOff>
    </xdr:to>
    <xdr:pic>
      <xdr:nvPicPr>
        <xdr:cNvPr id="2" name="Picture 1" descr="Detention-Retention Layout 1.jpg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4350" y="6096"/>
          <a:ext cx="4919472" cy="3319272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4591812</xdr:colOff>
      <xdr:row>1</xdr:row>
      <xdr:rowOff>3335782</xdr:rowOff>
    </xdr:to>
    <xdr:pic>
      <xdr:nvPicPr>
        <xdr:cNvPr id="3" name="Picture 2" descr="Detention-Retention Layout 2.jpg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4350" y="3333750"/>
          <a:ext cx="4919472" cy="3319272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</xdr:row>
      <xdr:rowOff>7099</xdr:rowOff>
    </xdr:from>
    <xdr:to>
      <xdr:col>1</xdr:col>
      <xdr:colOff>4591812</xdr:colOff>
      <xdr:row>3</xdr:row>
      <xdr:rowOff>1511</xdr:rowOff>
    </xdr:to>
    <xdr:pic>
      <xdr:nvPicPr>
        <xdr:cNvPr id="4" name="Picture 3" descr="Detention-Retention Layout 3.jpg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6355" y="6684625"/>
          <a:ext cx="4919472" cy="3319272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4591812</xdr:colOff>
      <xdr:row>3</xdr:row>
      <xdr:rowOff>3335782</xdr:rowOff>
    </xdr:to>
    <xdr:pic>
      <xdr:nvPicPr>
        <xdr:cNvPr id="5" name="Picture 4" descr="Detention-Retention Layout 5.jpg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6355" y="10021303"/>
          <a:ext cx="4919472" cy="3319272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</xdr:row>
      <xdr:rowOff>3317875</xdr:rowOff>
    </xdr:from>
    <xdr:to>
      <xdr:col>1</xdr:col>
      <xdr:colOff>4591812</xdr:colOff>
      <xdr:row>4</xdr:row>
      <xdr:rowOff>3296412</xdr:rowOff>
    </xdr:to>
    <xdr:pic>
      <xdr:nvPicPr>
        <xdr:cNvPr id="6" name="Picture 5" descr="Detention-Retention Layout 6.jpg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8000" y="13350875"/>
          <a:ext cx="4919472" cy="3319272"/>
        </a:xfrm>
        <a:prstGeom prst="rect">
          <a:avLst/>
        </a:prstGeom>
      </xdr:spPr>
    </xdr:pic>
    <xdr:clientData/>
  </xdr:twoCellAnchor>
  <xdr:twoCellAnchor>
    <xdr:from>
      <xdr:col>3</xdr:col>
      <xdr:colOff>68580</xdr:colOff>
      <xdr:row>7</xdr:row>
      <xdr:rowOff>67310</xdr:rowOff>
    </xdr:from>
    <xdr:to>
      <xdr:col>3</xdr:col>
      <xdr:colOff>4699000</xdr:colOff>
      <xdr:row>7</xdr:row>
      <xdr:rowOff>2866390</xdr:rowOff>
    </xdr:to>
    <xdr:grpSp>
      <xdr:nvGrpSpPr>
        <xdr:cNvPr id="151" name="Group 9">
          <a:extLst>
            <a:ext uri="{FF2B5EF4-FFF2-40B4-BE49-F238E27FC236}">
              <a16:creationId xmlns:a16="http://schemas.microsoft.com/office/drawing/2014/main" id="{00000000-0008-0000-0300-000097000000}"/>
            </a:ext>
          </a:extLst>
        </xdr:cNvPr>
        <xdr:cNvGrpSpPr/>
      </xdr:nvGrpSpPr>
      <xdr:grpSpPr>
        <a:xfrm>
          <a:off x="5631180" y="22500590"/>
          <a:ext cx="4394200" cy="2799080"/>
          <a:chOff x="6014399" y="22518666"/>
          <a:chExt cx="5182438" cy="2822025"/>
        </a:xfrm>
        <a:solidFill>
          <a:schemeClr val="bg1"/>
        </a:solidFill>
      </xdr:grpSpPr>
      <xdr:pic>
        <xdr:nvPicPr>
          <xdr:cNvPr id="152" name="Picture 10">
            <a:extLst>
              <a:ext uri="{FF2B5EF4-FFF2-40B4-BE49-F238E27FC236}">
                <a16:creationId xmlns:a16="http://schemas.microsoft.com/office/drawing/2014/main" id="{00000000-0008-0000-0300-000098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014399" y="22518666"/>
            <a:ext cx="5111550" cy="2822025"/>
          </a:xfrm>
          <a:prstGeom prst="rect">
            <a:avLst/>
          </a:prstGeom>
          <a:grpFill/>
        </xdr:spPr>
      </xdr:pic>
      <xdr:sp macro="" textlink="">
        <xdr:nvSpPr>
          <xdr:cNvPr id="159" name="TextBox 23">
            <a:extLst>
              <a:ext uri="{FF2B5EF4-FFF2-40B4-BE49-F238E27FC236}">
                <a16:creationId xmlns:a16="http://schemas.microsoft.com/office/drawing/2014/main" id="{00000000-0008-0000-0300-00009F000000}"/>
              </a:ext>
            </a:extLst>
          </xdr:cNvPr>
          <xdr:cNvSpPr txBox="1"/>
        </xdr:nvSpPr>
        <xdr:spPr>
          <a:xfrm>
            <a:off x="10585964" y="23143756"/>
            <a:ext cx="610873" cy="22446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overflow" horzOverflow="overflow" wrap="square" lIns="0" rIns="0" rtlCol="0" anchor="ctr"/>
          <a:lstStyle/>
          <a:p>
            <a:pPr algn="r"/>
            <a:r>
              <a:rPr lang="en-US" sz="700">
                <a:solidFill>
                  <a:schemeClr val="dk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Avg. Depth</a:t>
            </a:r>
          </a:p>
        </xdr:txBody>
      </xdr:sp>
    </xdr:grpSp>
    <xdr:clientData/>
  </xdr:twoCellAnchor>
  <xdr:twoCellAnchor>
    <xdr:from>
      <xdr:col>3</xdr:col>
      <xdr:colOff>58420</xdr:colOff>
      <xdr:row>8</xdr:row>
      <xdr:rowOff>59690</xdr:rowOff>
    </xdr:from>
    <xdr:to>
      <xdr:col>3</xdr:col>
      <xdr:colOff>4693920</xdr:colOff>
      <xdr:row>8</xdr:row>
      <xdr:rowOff>2856484</xdr:rowOff>
    </xdr:to>
    <xdr:grpSp>
      <xdr:nvGrpSpPr>
        <xdr:cNvPr id="8" name="Group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GrpSpPr/>
      </xdr:nvGrpSpPr>
      <xdr:grpSpPr>
        <a:xfrm>
          <a:off x="5621020" y="25373330"/>
          <a:ext cx="4406900" cy="2796794"/>
          <a:chOff x="5962650" y="25355550"/>
          <a:chExt cx="5223883" cy="2871216"/>
        </a:xfrm>
        <a:solidFill>
          <a:schemeClr val="bg1"/>
        </a:solidFill>
      </xdr:grpSpPr>
      <xdr:pic>
        <xdr:nvPicPr>
          <xdr:cNvPr id="12" name="Picture 11">
            <a:extLst>
              <a:ext uri="{FF2B5EF4-FFF2-40B4-BE49-F238E27FC236}">
                <a16:creationId xmlns:a16="http://schemas.microsoft.com/office/drawing/2014/main" id="{00000000-0008-0000-0300-00000C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962650" y="25355550"/>
            <a:ext cx="5163025" cy="2871216"/>
          </a:xfrm>
          <a:prstGeom prst="rect">
            <a:avLst/>
          </a:prstGeom>
          <a:grpFill/>
        </xdr:spPr>
      </xdr:pic>
      <xdr:sp macro="" textlink="">
        <xdr:nvSpPr>
          <xdr:cNvPr id="25" name="TextBox 24">
            <a:extLst>
              <a:ext uri="{FF2B5EF4-FFF2-40B4-BE49-F238E27FC236}">
                <a16:creationId xmlns:a16="http://schemas.microsoft.com/office/drawing/2014/main" id="{00000000-0008-0000-0300-000019000000}"/>
              </a:ext>
            </a:extLst>
          </xdr:cNvPr>
          <xdr:cNvSpPr txBox="1"/>
        </xdr:nvSpPr>
        <xdr:spPr>
          <a:xfrm>
            <a:off x="10647632" y="25998679"/>
            <a:ext cx="538901" cy="23379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overflow" horzOverflow="overflow" wrap="square" lIns="0" rIns="0" rtlCol="0" anchor="ctr"/>
          <a:lstStyle/>
          <a:p>
            <a:pPr algn="r"/>
            <a:r>
              <a:rPr lang="en-US" sz="700">
                <a:solidFill>
                  <a:schemeClr val="dk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Avg. Depth</a:t>
            </a:r>
          </a:p>
        </xdr:txBody>
      </xdr:sp>
    </xdr:grpSp>
    <xdr:clientData/>
  </xdr:twoCellAnchor>
  <xdr:twoCellAnchor>
    <xdr:from>
      <xdr:col>5</xdr:col>
      <xdr:colOff>320040</xdr:colOff>
      <xdr:row>8</xdr:row>
      <xdr:rowOff>281940</xdr:rowOff>
    </xdr:from>
    <xdr:to>
      <xdr:col>6</xdr:col>
      <xdr:colOff>289277</xdr:colOff>
      <xdr:row>8</xdr:row>
      <xdr:rowOff>506918</xdr:rowOff>
    </xdr:to>
    <xdr:sp macro="" textlink="'System Calculations'!V46">
      <xdr:nvSpPr>
        <xdr:cNvPr id="164" name="Rectangle 15">
          <a:extLst>
            <a:ext uri="{FF2B5EF4-FFF2-40B4-BE49-F238E27FC236}">
              <a16:creationId xmlns:a16="http://schemas.microsoft.com/office/drawing/2014/main" id="{00000000-0008-0000-0300-0000A4000000}"/>
            </a:ext>
          </a:extLst>
        </xdr:cNvPr>
        <xdr:cNvSpPr>
          <a:spLocks noChangeAspect="1"/>
        </xdr:cNvSpPr>
      </xdr:nvSpPr>
      <xdr:spPr>
        <a:xfrm>
          <a:off x="11696700" y="25595580"/>
          <a:ext cx="472157" cy="224978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 anchorCtr="1"/>
        <a:lstStyle/>
        <a:p>
          <a:fld id="{6C56C83A-AD10-478D-B155-B133C0542C70}" type="TxLink">
            <a:rPr lang="en-US" sz="800" b="0" i="0" u="none" strike="noStrike">
              <a:solidFill>
                <a:srgbClr val="000000"/>
              </a:solidFill>
              <a:latin typeface="Arial"/>
              <a:cs typeface="Arial"/>
            </a:rPr>
            <a:pPr/>
            <a:t> </a:t>
          </a:fld>
          <a:endParaRPr lang="en-US" sz="600">
            <a:solidFill>
              <a:sysClr val="windowText" lastClr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3050540</xdr:colOff>
      <xdr:row>7</xdr:row>
      <xdr:rowOff>480060</xdr:rowOff>
    </xdr:from>
    <xdr:to>
      <xdr:col>1</xdr:col>
      <xdr:colOff>3050540</xdr:colOff>
      <xdr:row>8</xdr:row>
      <xdr:rowOff>1728470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CxnSpPr/>
      </xdr:nvCxnSpPr>
      <xdr:spPr>
        <a:xfrm>
          <a:off x="3568700" y="22928580"/>
          <a:ext cx="0" cy="412877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3931920</xdr:colOff>
      <xdr:row>7</xdr:row>
      <xdr:rowOff>417830</xdr:rowOff>
    </xdr:from>
    <xdr:to>
      <xdr:col>1</xdr:col>
      <xdr:colOff>3931920</xdr:colOff>
      <xdr:row>8</xdr:row>
      <xdr:rowOff>1671320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CxnSpPr/>
      </xdr:nvCxnSpPr>
      <xdr:spPr>
        <a:xfrm>
          <a:off x="4450080" y="22866350"/>
          <a:ext cx="0" cy="41338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Amelie Dulas" id="{F1B2B483-51E3-4341-902A-5B157748B91B}" userId="S::Amelie.Dulas@prinsco.com::199c4f30-71e7-40a2-b038-7ca8d29e9700" providerId="AD"/>
  <person displayName="Bryce Erickson" id="{D30FA309-3252-4A73-B280-BC321D335EB4}" userId="S::Bryce.Erickson@prinsco.com::c311b229-5746-4892-81b1-6eb997c4b83e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C15" dT="2022-10-28T20:54:19.42" personId="{F1B2B483-51E3-4341-902A-5B157748B91B}" id="{34E41E59-7EB1-4371-B78B-CA10C8C26523}">
    <text>This column is always standard, and calculated to be in std units if the inputs on the front are in metric. Calculations therefore did not change here.</text>
  </threadedComment>
  <threadedComment ref="G15" dT="2022-09-12T14:43:11.90" personId="{F1B2B483-51E3-4341-902A-5B157748B91B}" id="{13B92388-A4EA-4D77-8764-9B681B3E1B56}">
    <text>Used to have MW and integrity tee pipe option as well, but now we consolidate all to this profile</text>
  </threadedComment>
  <threadedComment ref="Q23" dT="2022-09-13T15:51:42.50" personId="{F1B2B483-51E3-4341-902A-5B157748B91B}" id="{0B79AC03-AA23-465C-AF63-EB2FAD23CD0A}">
    <text>currently there is additional stone incorporated into the trench length and width both. Could make option for seperate additions, but TW thinks this is fine for now.</text>
  </threadedComment>
  <threadedComment ref="Q25" dT="2022-09-13T15:30:22.78" personId="{F1B2B483-51E3-4341-902A-5B157748B91B}" id="{9CC63746-5B15-42AA-8747-8DFD51230B18}">
    <text>got rid of additional 6" stone</text>
  </threadedComment>
  <threadedComment ref="C43" dT="2022-09-13T16:28:09.21" personId="{F1B2B483-51E3-4341-902A-5B157748B91B}" id="{A3C2469B-2413-4BA6-82AD-322773FA2BB8}">
    <text>removed extra 6" on top here, image now reflects this</text>
  </threadedComment>
  <threadedComment ref="C48" dT="2022-09-13T16:43:36.27" personId="{F1B2B483-51E3-4341-902A-5B157748B91B}" id="{166E28E5-F251-4CFF-A33E-CCE360E1EED3}">
    <text>logic is a bit confusing but TW confirmed it should be fine</text>
  </threadedComment>
  <threadedComment ref="C52" dT="2026-02-13T15:49:08.01" personId="{D30FA309-3252-4A73-B280-BC321D335EB4}" id="{28D6EA42-B019-44D6-A1D5-537114294B82}">
    <text>Added Max statement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D16" dT="2026-02-19T17:51:38.29" personId="{D30FA309-3252-4A73-B280-BC321D335EB4}" id="{5B0B0811-70BB-4A1B-A8A2-B2C41AE09849}">
    <text>Updated</text>
  </threadedComment>
  <threadedComment ref="E16" dT="2026-02-19T17:51:47.28" personId="{D30FA309-3252-4A73-B280-BC321D335EB4}" id="{E544504C-E7BE-4A59-BA6B-ACAF9100D944}">
    <text>Updated</text>
  </threadedComment>
  <threadedComment ref="F16" dT="2026-02-19T17:51:55.82" personId="{D30FA309-3252-4A73-B280-BC321D335EB4}" id="{398D94F0-3082-45D8-90B5-B4A1D1F2312B}">
    <text>Updated</text>
  </threadedComment>
  <threadedComment ref="J16" dT="2026-02-19T17:52:07.75" personId="{D30FA309-3252-4A73-B280-BC321D335EB4}" id="{F70BE57B-85B2-44F7-B2D7-E4C7E4E5962A}">
    <text>Updated</text>
  </threadedComment>
  <threadedComment ref="K16" dT="2026-02-19T17:52:19.28" personId="{D30FA309-3252-4A73-B280-BC321D335EB4}" id="{A68091BD-D486-4EDA-875F-1EC0CFAC85AB}">
    <text>Updated</text>
  </threadedComment>
  <threadedComment ref="L16" dT="2026-02-19T17:52:28.40" personId="{D30FA309-3252-4A73-B280-BC321D335EB4}" id="{40CAC35E-53FE-48D7-B62E-18030B9FDCC5}">
    <text>Updated</text>
  </threadedComment>
  <threadedComment ref="M16" dT="2026-02-19T17:52:37.55" personId="{D30FA309-3252-4A73-B280-BC321D335EB4}" id="{9F36A1B0-9719-4B56-A4F4-B8F706CD60CE}">
    <text>Updated</text>
  </threadedComment>
  <threadedComment ref="N16" dT="2026-02-19T17:52:47.84" personId="{D30FA309-3252-4A73-B280-BC321D335EB4}" id="{C3D51BE8-7332-4DA9-B5BE-FD3369AE250E}">
    <text>Updated</text>
  </threadedComment>
  <threadedComment ref="O16" dT="2026-02-19T17:52:57.46" personId="{D30FA309-3252-4A73-B280-BC321D335EB4}" id="{F31FEA58-8B46-49EB-A244-62ACF7E525AA}">
    <text>Updated</text>
  </threadedComment>
  <threadedComment ref="Q16" dT="2026-02-19T17:53:06.54" personId="{D30FA309-3252-4A73-B280-BC321D335EB4}" id="{610D7675-0B03-4F73-8719-9853BCD0015C}">
    <text>Updated</text>
  </threadedComment>
</ThreadedComments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10" Type="http://schemas.openxmlformats.org/officeDocument/2006/relationships/ctrlProp" Target="../ctrlProps/ctrlProp6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microsoft.com/office/2017/10/relationships/threadedComment" Target="../threadedComments/threadedComment1.xml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2.xml"/><Relationship Id="rId2" Type="http://schemas.openxmlformats.org/officeDocument/2006/relationships/comments" Target="../comments2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F1:BD46"/>
  <sheetViews>
    <sheetView showGridLines="0" tabSelected="1" view="pageBreakPreview" zoomScaleNormal="90" zoomScaleSheetLayoutView="100" zoomScalePageLayoutView="75" workbookViewId="0">
      <selection activeCell="AL13" sqref="AL13:AN13"/>
    </sheetView>
  </sheetViews>
  <sheetFormatPr defaultColWidth="2.7109375" defaultRowHeight="10.199999999999999" x14ac:dyDescent="0.2"/>
  <cols>
    <col min="6" max="6" width="4" customWidth="1"/>
    <col min="7" max="16" width="3.7109375" customWidth="1"/>
    <col min="17" max="17" width="4.42578125" customWidth="1"/>
    <col min="18" max="30" width="3.7109375" customWidth="1"/>
    <col min="31" max="31" width="4.85546875" customWidth="1"/>
    <col min="32" max="45" width="3.7109375" customWidth="1"/>
    <col min="56" max="56" width="4.140625" customWidth="1"/>
    <col min="57" max="63" width="3.7109375" customWidth="1"/>
  </cols>
  <sheetData>
    <row r="1" spans="6:56" ht="18.899999999999999" customHeight="1" x14ac:dyDescent="0.2"/>
    <row r="2" spans="6:56" ht="30" customHeight="1" x14ac:dyDescent="0.3">
      <c r="S2" s="67" t="s">
        <v>166</v>
      </c>
    </row>
    <row r="3" spans="6:56" ht="24" customHeight="1" thickBot="1" x14ac:dyDescent="0.25"/>
    <row r="4" spans="6:56" ht="12.9" customHeight="1" thickBot="1" x14ac:dyDescent="0.25">
      <c r="F4" s="92" t="s">
        <v>0</v>
      </c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  <c r="AI4" s="93"/>
      <c r="AJ4" s="93"/>
      <c r="AK4" s="93"/>
      <c r="AL4" s="93"/>
      <c r="AM4" s="93"/>
      <c r="AN4" s="93"/>
      <c r="AO4" s="93"/>
      <c r="AP4" s="93"/>
      <c r="AQ4" s="93"/>
      <c r="AR4" s="93"/>
      <c r="AS4" s="93"/>
      <c r="AT4" s="93"/>
      <c r="AU4" s="93"/>
      <c r="AV4" s="93"/>
      <c r="AW4" s="93"/>
      <c r="AX4" s="93"/>
      <c r="AY4" s="93"/>
      <c r="AZ4" s="93"/>
      <c r="BA4" s="93"/>
      <c r="BB4" s="93"/>
      <c r="BC4" s="93"/>
      <c r="BD4" s="94"/>
    </row>
    <row r="5" spans="6:56" ht="6.75" customHeight="1" x14ac:dyDescent="0.2"/>
    <row r="6" spans="6:56" ht="18.899999999999999" customHeight="1" x14ac:dyDescent="0.2">
      <c r="J6" s="19" t="s">
        <v>1</v>
      </c>
      <c r="K6" s="102"/>
      <c r="L6" s="102"/>
      <c r="M6" s="102"/>
      <c r="N6" s="102"/>
      <c r="O6" s="102"/>
      <c r="P6" s="102"/>
      <c r="Q6" s="102"/>
      <c r="R6" s="102"/>
      <c r="S6" s="102"/>
      <c r="W6" s="19" t="s">
        <v>2</v>
      </c>
      <c r="X6" s="30" t="s">
        <v>3</v>
      </c>
      <c r="Y6" s="11" t="s">
        <v>4</v>
      </c>
      <c r="Z6" s="30" t="s">
        <v>5</v>
      </c>
      <c r="AA6" s="11" t="s">
        <v>4</v>
      </c>
      <c r="AB6" s="102" t="s">
        <v>6</v>
      </c>
      <c r="AC6" s="102"/>
      <c r="AH6" s="19" t="s">
        <v>7</v>
      </c>
      <c r="AI6" s="102"/>
      <c r="AJ6" s="102"/>
      <c r="AK6" s="102"/>
      <c r="AL6" s="102"/>
      <c r="AM6" s="102"/>
      <c r="AN6" s="11" t="s">
        <v>4</v>
      </c>
      <c r="AO6" s="31"/>
      <c r="AT6" s="19" t="s">
        <v>8</v>
      </c>
      <c r="AU6" s="102"/>
      <c r="AV6" s="102"/>
      <c r="AW6" s="102"/>
      <c r="AX6" s="102"/>
      <c r="AY6" s="102"/>
      <c r="AZ6" s="102"/>
      <c r="BA6" s="102"/>
      <c r="BB6" s="102"/>
    </row>
    <row r="7" spans="6:56" ht="18.899999999999999" customHeight="1" x14ac:dyDescent="0.2">
      <c r="J7" s="19" t="s">
        <v>9</v>
      </c>
      <c r="K7" s="104"/>
      <c r="L7" s="104"/>
      <c r="M7" s="104"/>
      <c r="N7" s="104"/>
      <c r="O7" s="104"/>
      <c r="P7" s="104"/>
      <c r="Q7" s="104"/>
      <c r="R7" s="104"/>
      <c r="S7" s="104"/>
      <c r="W7" s="19" t="s">
        <v>10</v>
      </c>
      <c r="X7" s="102"/>
      <c r="Y7" s="102"/>
      <c r="Z7" s="102"/>
      <c r="AA7" s="102"/>
      <c r="AB7" s="102"/>
      <c r="AC7" s="102"/>
      <c r="AH7" s="19" t="s">
        <v>11</v>
      </c>
      <c r="AI7" s="102"/>
      <c r="AJ7" s="102"/>
      <c r="AK7" s="102"/>
      <c r="AL7" s="102"/>
      <c r="AM7" s="102"/>
      <c r="AN7" s="102"/>
      <c r="AO7" s="102"/>
      <c r="AT7" s="19" t="s">
        <v>12</v>
      </c>
      <c r="AU7" s="104"/>
      <c r="AV7" s="104"/>
      <c r="AW7" s="104"/>
      <c r="AX7" s="104"/>
      <c r="AY7" s="104"/>
      <c r="AZ7" s="104"/>
      <c r="BA7" s="104"/>
      <c r="BB7" s="104"/>
    </row>
    <row r="8" spans="6:56" ht="9" customHeight="1" thickBot="1" x14ac:dyDescent="0.25"/>
    <row r="9" spans="6:56" ht="12.9" customHeight="1" thickBot="1" x14ac:dyDescent="0.25">
      <c r="F9" s="92" t="s">
        <v>13</v>
      </c>
      <c r="G9" s="93"/>
      <c r="H9" s="93"/>
      <c r="I9" s="93"/>
      <c r="J9" s="93"/>
      <c r="K9" s="93"/>
      <c r="L9" s="93"/>
      <c r="M9" s="93"/>
      <c r="N9" s="93"/>
      <c r="O9" s="93"/>
      <c r="P9" s="93"/>
      <c r="Q9" s="93"/>
      <c r="R9" s="93"/>
      <c r="S9" s="93"/>
      <c r="T9" s="93"/>
      <c r="U9" s="93"/>
      <c r="V9" s="93"/>
      <c r="W9" s="93"/>
      <c r="X9" s="93"/>
      <c r="Y9" s="93"/>
      <c r="Z9" s="93"/>
      <c r="AA9" s="93"/>
      <c r="AB9" s="93"/>
      <c r="AC9" s="93"/>
      <c r="AD9" s="93"/>
      <c r="AE9" s="93"/>
      <c r="AF9" s="93"/>
      <c r="AG9" s="93"/>
      <c r="AH9" s="93"/>
      <c r="AI9" s="93"/>
      <c r="AJ9" s="93"/>
      <c r="AK9" s="93"/>
      <c r="AL9" s="93"/>
      <c r="AM9" s="93"/>
      <c r="AN9" s="93"/>
      <c r="AO9" s="93"/>
      <c r="AP9" s="93"/>
      <c r="AQ9" s="93"/>
      <c r="AR9" s="93"/>
      <c r="AS9" s="93"/>
      <c r="AT9" s="93"/>
      <c r="AU9" s="93"/>
      <c r="AV9" s="93"/>
      <c r="AW9" s="93"/>
      <c r="AX9" s="93"/>
      <c r="AY9" s="93"/>
      <c r="AZ9" s="93"/>
      <c r="BA9" s="93"/>
      <c r="BB9" s="93"/>
      <c r="BC9" s="93"/>
      <c r="BD9" s="94"/>
    </row>
    <row r="10" spans="6:56" ht="9" customHeight="1" x14ac:dyDescent="0.2"/>
    <row r="11" spans="6:56" ht="18" customHeight="1" x14ac:dyDescent="0.2">
      <c r="H11" s="16" t="s">
        <v>132</v>
      </c>
      <c r="I11" s="27"/>
      <c r="M11" s="16"/>
      <c r="N11" s="16"/>
      <c r="O11" s="16"/>
      <c r="R11" s="27"/>
      <c r="Z11" s="27"/>
      <c r="AH11" s="27"/>
      <c r="AV11" s="27"/>
    </row>
    <row r="12" spans="6:56" s="16" customFormat="1" ht="15.6" customHeight="1" x14ac:dyDescent="0.2">
      <c r="L12"/>
      <c r="AJ12" s="106" t="s">
        <v>14</v>
      </c>
      <c r="AK12" s="106"/>
      <c r="AL12" s="106"/>
      <c r="AM12" s="106"/>
      <c r="AN12" s="106"/>
      <c r="AO12" s="106"/>
      <c r="AP12" s="106"/>
      <c r="AQ12" s="106"/>
      <c r="AR12" s="106"/>
      <c r="AS12" s="106"/>
      <c r="AT12" s="106"/>
      <c r="AU12" s="106"/>
      <c r="AV12" s="106"/>
      <c r="AW12" s="106"/>
      <c r="AX12" s="106"/>
    </row>
    <row r="13" spans="6:56" ht="21.6" customHeight="1" x14ac:dyDescent="0.2">
      <c r="G13" s="86" t="s">
        <v>136</v>
      </c>
      <c r="H13" s="87"/>
      <c r="I13" s="87"/>
      <c r="J13" s="88"/>
      <c r="K13" s="97">
        <v>5</v>
      </c>
      <c r="L13" s="98"/>
      <c r="P13" s="86" t="s">
        <v>83</v>
      </c>
      <c r="Q13" s="87"/>
      <c r="R13" s="87"/>
      <c r="S13" s="88"/>
      <c r="T13" s="97">
        <v>8</v>
      </c>
      <c r="U13" s="98"/>
      <c r="V13" s="33" t="str">
        <f>IF('System Calculations'!C16='System Calculations'!G4,"(ft)","(m)")</f>
        <v>(ft)</v>
      </c>
      <c r="Z13" s="86" t="s">
        <v>139</v>
      </c>
      <c r="AA13" s="87"/>
      <c r="AB13" s="87"/>
      <c r="AC13" s="97">
        <v>40</v>
      </c>
      <c r="AD13" s="98"/>
      <c r="AE13" s="23" t="s">
        <v>16</v>
      </c>
      <c r="AI13" s="18"/>
      <c r="AL13" s="97">
        <v>29.65</v>
      </c>
      <c r="AM13" s="105"/>
      <c r="AN13" s="98"/>
      <c r="AO13" s="16" t="str">
        <f>IF('System Calculations'!C16='System Calculations'!G4,"(ft)","(m)")</f>
        <v>(ft)</v>
      </c>
      <c r="AP13" s="108" t="s">
        <v>15</v>
      </c>
      <c r="AQ13" s="108"/>
      <c r="AS13" s="99"/>
      <c r="AT13" s="100"/>
      <c r="AU13" s="101"/>
      <c r="AV13" s="16" t="str">
        <f>IF('System Calculations'!C16='System Calculations'!G4,"(ft)","(m)")</f>
        <v>(ft)</v>
      </c>
      <c r="BC13" s="24"/>
    </row>
    <row r="14" spans="6:56" ht="9" customHeight="1" x14ac:dyDescent="0.2">
      <c r="M14" s="16"/>
      <c r="N14" s="16"/>
      <c r="O14" s="16"/>
      <c r="R14" s="16"/>
    </row>
    <row r="15" spans="6:56" ht="19.95" customHeight="1" x14ac:dyDescent="0.2">
      <c r="G15" s="86" t="s">
        <v>82</v>
      </c>
      <c r="H15" s="87"/>
      <c r="I15" s="87"/>
      <c r="J15" s="88"/>
      <c r="K15" s="97">
        <v>20</v>
      </c>
      <c r="L15" s="98"/>
      <c r="M15" s="32" t="str">
        <f>IF('System Calculations'!C16='System Calculations'!G4,"(ft)","(m)")</f>
        <v>(ft)</v>
      </c>
      <c r="P15" s="89" t="s">
        <v>138</v>
      </c>
      <c r="Q15" s="103"/>
      <c r="R15" s="103"/>
      <c r="S15" s="103"/>
      <c r="T15" s="97">
        <v>0</v>
      </c>
      <c r="U15" s="98"/>
      <c r="V15" s="24" t="str">
        <f>IF('System Calculations'!C16='System Calculations'!G4,"(in)","(mm)")</f>
        <v>(in)</v>
      </c>
      <c r="X15" s="89" t="s">
        <v>140</v>
      </c>
      <c r="Y15" s="89"/>
      <c r="Z15" s="89"/>
      <c r="AA15" s="89"/>
      <c r="AB15" s="90"/>
      <c r="AC15" s="97">
        <v>0</v>
      </c>
      <c r="AD15" s="98"/>
      <c r="AE15" s="24" t="str">
        <f>IF('System Calculations'!C16='System Calculations'!G4,"(in)","(mm)")</f>
        <v>(in)</v>
      </c>
      <c r="AG15" s="66"/>
      <c r="AH15" s="66"/>
      <c r="AI15" s="66"/>
      <c r="AJ15" s="66"/>
      <c r="BC15" s="23"/>
    </row>
    <row r="16" spans="6:56" ht="9" customHeight="1" x14ac:dyDescent="0.2">
      <c r="AF16" s="18"/>
      <c r="AQ16" s="19"/>
    </row>
    <row r="17" spans="6:56" ht="20.399999999999999" customHeight="1" x14ac:dyDescent="0.2">
      <c r="F17" s="89" t="s">
        <v>137</v>
      </c>
      <c r="G17" s="89"/>
      <c r="H17" s="89"/>
      <c r="I17" s="89"/>
      <c r="J17" s="90"/>
      <c r="K17" s="97">
        <v>0</v>
      </c>
      <c r="L17" s="98"/>
      <c r="M17" s="33" t="str">
        <f>IF('System Calculations'!C16='System Calculations'!G4,"(in)","(mm)")</f>
        <v>(in)</v>
      </c>
      <c r="Y17" t="s">
        <v>169</v>
      </c>
      <c r="AF17" s="18"/>
      <c r="AQ17" s="19"/>
    </row>
    <row r="18" spans="6:56" ht="12" customHeight="1" thickBot="1" x14ac:dyDescent="0.25">
      <c r="S18" s="70" t="s">
        <v>141</v>
      </c>
      <c r="AF18" s="18"/>
      <c r="AQ18" s="19"/>
    </row>
    <row r="19" spans="6:56" ht="12.9" customHeight="1" thickBot="1" x14ac:dyDescent="0.25">
      <c r="F19" s="92" t="s">
        <v>113</v>
      </c>
      <c r="G19" s="93"/>
      <c r="H19" s="93"/>
      <c r="I19" s="93"/>
      <c r="J19" s="93"/>
      <c r="K19" s="93"/>
      <c r="L19" s="93"/>
      <c r="M19" s="93"/>
      <c r="N19" s="93"/>
      <c r="O19" s="93"/>
      <c r="P19" s="93"/>
      <c r="Q19" s="93"/>
      <c r="R19" s="93"/>
      <c r="S19" s="93"/>
      <c r="T19" s="93"/>
      <c r="U19" s="93"/>
      <c r="V19" s="93"/>
      <c r="W19" s="93"/>
      <c r="X19" s="93"/>
      <c r="Y19" s="93"/>
      <c r="Z19" s="93"/>
      <c r="AA19" s="93"/>
      <c r="AB19" s="93"/>
      <c r="AC19" s="93"/>
      <c r="AD19" s="93"/>
      <c r="AE19" s="93"/>
      <c r="AF19" s="93"/>
      <c r="AG19" s="93"/>
      <c r="AH19" s="93"/>
      <c r="AI19" s="93"/>
      <c r="AJ19" s="93"/>
      <c r="AK19" s="93"/>
      <c r="AL19" s="93"/>
      <c r="AM19" s="93"/>
      <c r="AN19" s="93"/>
      <c r="AO19" s="93"/>
      <c r="AP19" s="93"/>
      <c r="AQ19" s="93"/>
      <c r="AR19" s="93"/>
      <c r="AS19" s="93"/>
      <c r="AT19" s="93"/>
      <c r="AU19" s="93"/>
      <c r="AV19" s="93"/>
      <c r="AW19" s="93"/>
      <c r="AX19" s="93"/>
      <c r="AY19" s="93"/>
      <c r="AZ19" s="93"/>
      <c r="BA19" s="93"/>
      <c r="BB19" s="93"/>
      <c r="BC19" s="93"/>
      <c r="BD19" s="94"/>
    </row>
    <row r="20" spans="6:56" ht="3" customHeight="1" x14ac:dyDescent="0.3">
      <c r="I20" s="16"/>
      <c r="J20" s="16"/>
      <c r="K20" s="16"/>
      <c r="L20" s="16"/>
      <c r="M20" s="16"/>
      <c r="S20" s="16"/>
      <c r="AK20" s="12"/>
    </row>
    <row r="21" spans="6:56" ht="5.4" customHeight="1" x14ac:dyDescent="0.2"/>
    <row r="22" spans="6:56" ht="18.899999999999999" customHeight="1" x14ac:dyDescent="0.25">
      <c r="AN22" s="17"/>
      <c r="AO22" s="17"/>
      <c r="AP22" s="17"/>
      <c r="AQ22" s="17"/>
      <c r="AR22" s="17"/>
      <c r="AS22" s="17"/>
    </row>
    <row r="23" spans="6:56" ht="18.899999999999999" customHeight="1" x14ac:dyDescent="0.2"/>
    <row r="24" spans="6:56" ht="18.899999999999999" customHeight="1" x14ac:dyDescent="0.2"/>
    <row r="25" spans="6:56" ht="18.899999999999999" customHeight="1" x14ac:dyDescent="0.2"/>
    <row r="26" spans="6:56" ht="18.899999999999999" customHeight="1" x14ac:dyDescent="0.2"/>
    <row r="27" spans="6:56" ht="18.899999999999999" customHeight="1" x14ac:dyDescent="0.2"/>
    <row r="28" spans="6:56" ht="18.899999999999999" customHeight="1" x14ac:dyDescent="0.2"/>
    <row r="29" spans="6:56" ht="18" customHeight="1" x14ac:dyDescent="0.2"/>
    <row r="30" spans="6:56" ht="18" customHeight="1" x14ac:dyDescent="0.2"/>
    <row r="31" spans="6:56" ht="12.9" customHeight="1" x14ac:dyDescent="0.2"/>
    <row r="32" spans="6:56" ht="19.5" customHeight="1" x14ac:dyDescent="0.2"/>
    <row r="33" spans="6:56" ht="16.5" customHeight="1" x14ac:dyDescent="0.2">
      <c r="G33" s="22"/>
      <c r="I33" s="33"/>
      <c r="J33" s="33"/>
      <c r="K33" s="33"/>
      <c r="L33" s="27"/>
      <c r="P33" s="24"/>
      <c r="R33" s="34"/>
      <c r="S33" s="34"/>
      <c r="T33" s="34"/>
      <c r="U33" s="34"/>
      <c r="V33" s="34"/>
    </row>
    <row r="34" spans="6:56" ht="24.6" customHeight="1" x14ac:dyDescent="0.2">
      <c r="F34" s="91" t="s">
        <v>142</v>
      </c>
      <c r="G34" s="91"/>
      <c r="H34" s="91"/>
      <c r="I34" s="91"/>
      <c r="J34" s="91"/>
      <c r="K34" s="91"/>
      <c r="L34" s="91"/>
      <c r="M34" s="91"/>
      <c r="N34" s="78" t="str">
        <f>IF('System Calculations'!C16='System Calculations'!G4,'System Calculations'!C48,'System Calculations'!E48)</f>
        <v>Cleanout</v>
      </c>
      <c r="Q34" s="34" t="s">
        <v>17</v>
      </c>
      <c r="R34" s="16"/>
      <c r="S34" s="16"/>
      <c r="Z34" s="112" t="s">
        <v>18</v>
      </c>
      <c r="AA34" s="112"/>
      <c r="AB34" s="112"/>
      <c r="AC34" s="112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</row>
    <row r="35" spans="6:56" ht="3" customHeight="1" x14ac:dyDescent="0.2">
      <c r="I35" s="16"/>
      <c r="J35" s="16"/>
      <c r="L35" s="27"/>
      <c r="M35" s="33"/>
      <c r="S35" s="34"/>
      <c r="T35" s="34"/>
      <c r="U35" s="34"/>
      <c r="V35" s="34"/>
      <c r="W35" s="34"/>
      <c r="X35" s="34"/>
      <c r="Y35" s="34"/>
      <c r="Z35" s="112"/>
      <c r="AA35" s="112"/>
      <c r="AB35" s="112"/>
      <c r="AC35" s="112"/>
    </row>
    <row r="36" spans="6:56" ht="16.2" customHeight="1" x14ac:dyDescent="0.2">
      <c r="F36" s="91" t="s">
        <v>163</v>
      </c>
      <c r="G36" s="91"/>
      <c r="H36" s="91"/>
      <c r="I36" s="91"/>
      <c r="J36" s="91"/>
      <c r="K36" s="91"/>
      <c r="L36" s="91"/>
      <c r="M36" s="91"/>
      <c r="N36" s="79" t="str">
        <f>IF('System Calculations'!C16='System Calculations'!G4,'System Calculations'!C72,'System Calculations'!E72)</f>
        <v>6 or 8 in</v>
      </c>
      <c r="O36" s="79"/>
      <c r="Z36" s="112"/>
      <c r="AA36" s="112"/>
      <c r="AB36" s="112"/>
      <c r="AC36" s="112"/>
    </row>
    <row r="37" spans="6:56" ht="12.6" customHeight="1" thickBot="1" x14ac:dyDescent="0.25"/>
    <row r="38" spans="6:56" ht="13.95" customHeight="1" thickBot="1" x14ac:dyDescent="0.25">
      <c r="F38" s="92" t="s">
        <v>114</v>
      </c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3"/>
      <c r="T38" s="93"/>
      <c r="U38" s="93"/>
      <c r="V38" s="93"/>
      <c r="W38" s="93"/>
      <c r="X38" s="93"/>
      <c r="Y38" s="93"/>
      <c r="Z38" s="93"/>
      <c r="AA38" s="93"/>
      <c r="AB38" s="93"/>
      <c r="AC38" s="93"/>
      <c r="AD38" s="93"/>
      <c r="AE38" s="93"/>
      <c r="AF38" s="93"/>
      <c r="AG38" s="93"/>
      <c r="AH38" s="93"/>
      <c r="AI38" s="93"/>
      <c r="AJ38" s="93"/>
      <c r="AK38" s="93"/>
      <c r="AL38" s="93"/>
      <c r="AM38" s="93"/>
      <c r="AN38" s="93"/>
      <c r="AO38" s="93"/>
      <c r="AP38" s="93"/>
      <c r="AQ38" s="93"/>
      <c r="AR38" s="93"/>
      <c r="AS38" s="93"/>
      <c r="AT38" s="93"/>
      <c r="AU38" s="93"/>
      <c r="AV38" s="93"/>
      <c r="AW38" s="93"/>
      <c r="AX38" s="93"/>
      <c r="AY38" s="93"/>
      <c r="AZ38" s="93"/>
      <c r="BA38" s="93"/>
      <c r="BB38" s="93"/>
      <c r="BC38" s="93"/>
      <c r="BD38" s="94"/>
    </row>
    <row r="39" spans="6:56" ht="16.2" customHeight="1" x14ac:dyDescent="0.2">
      <c r="H39" s="109" t="s">
        <v>91</v>
      </c>
      <c r="I39" s="109"/>
      <c r="J39" s="109"/>
      <c r="K39" s="109"/>
      <c r="M39" s="20"/>
      <c r="N39" s="16"/>
      <c r="O39" s="69"/>
      <c r="P39" s="109" t="s">
        <v>77</v>
      </c>
      <c r="Q39" s="109"/>
      <c r="R39" s="69"/>
      <c r="U39" s="20"/>
      <c r="W39" s="109" t="s">
        <v>63</v>
      </c>
      <c r="X39" s="109"/>
      <c r="Y39" s="109"/>
      <c r="Z39" s="109"/>
      <c r="AB39" s="18"/>
      <c r="AD39" s="109" t="s">
        <v>80</v>
      </c>
      <c r="AE39" s="109"/>
      <c r="AF39" s="109"/>
      <c r="AG39" s="109"/>
      <c r="AH39" s="109"/>
      <c r="AK39" s="18"/>
      <c r="AN39" s="21"/>
      <c r="BB39" s="20"/>
    </row>
    <row r="40" spans="6:56" ht="13.95" customHeight="1" x14ac:dyDescent="0.2">
      <c r="H40" s="110"/>
      <c r="I40" s="110"/>
      <c r="J40" s="110"/>
      <c r="K40" s="110"/>
      <c r="O40" s="53"/>
      <c r="P40" s="111"/>
      <c r="Q40" s="111"/>
      <c r="R40" s="53"/>
      <c r="W40" s="110"/>
      <c r="X40" s="110"/>
      <c r="Y40" s="110"/>
      <c r="Z40" s="110"/>
      <c r="AD40" s="110"/>
      <c r="AE40" s="110"/>
      <c r="AF40" s="110"/>
      <c r="AG40" s="110"/>
      <c r="AH40" s="110"/>
    </row>
    <row r="41" spans="6:56" ht="18.75" customHeight="1" x14ac:dyDescent="0.2">
      <c r="I41" s="95">
        <f>IF('System Calculations'!C16='System Calculations'!G4,'System Calculations'!C39,'System Calculations'!E39)</f>
        <v>339.02324805555554</v>
      </c>
      <c r="J41" s="96"/>
      <c r="K41" s="33" t="str">
        <f>IF('System Calculations'!C16='System Calculations'!G4,"(sf)","(sq. m)")</f>
        <v>(sf)</v>
      </c>
      <c r="P41" s="95">
        <f>IF('System Calculations'!C16='System Calculations'!G4,'System Calculations'!C33,'System Calculations'!E33)</f>
        <v>137.24098171175743</v>
      </c>
      <c r="Q41" s="96"/>
      <c r="R41" s="33" t="str">
        <f>IF('System Calculations'!C16='System Calculations'!G4,"(cf)","(cu. m)")</f>
        <v>(cf)</v>
      </c>
      <c r="X41" s="95">
        <f>IF('System Calculations'!C16='System Calculations'!G4,'System Calculations'!C32,'System Calculations'!E32)</f>
        <v>122.97567056572302</v>
      </c>
      <c r="Y41" s="96"/>
      <c r="Z41" s="33" t="str">
        <f>IF('System Calculations'!C16='System Calculations'!G4,"(cf)","(cu. m)")</f>
        <v>(cf)</v>
      </c>
      <c r="AE41" s="95">
        <f>IF('System Calculations'!C16='System Calculations'!G4,'System Calculations'!C34,'System Calculations'!E34)</f>
        <v>260.21665227748042</v>
      </c>
      <c r="AF41" s="107"/>
      <c r="AG41" s="96"/>
      <c r="AH41" s="33" t="str">
        <f>IF('System Calculations'!C16='System Calculations'!G4,"(cf)","(cu. m)")</f>
        <v>(cf)</v>
      </c>
      <c r="AM41" s="95">
        <f>IF('System Calculations'!C16='System Calculations'!G4,'System Calculations'!C40,'System Calculations'!E40)</f>
        <v>12.707498306644206</v>
      </c>
      <c r="AN41" s="96"/>
      <c r="AO41" s="33" t="str">
        <f>IF('System Calculations'!C16='System Calculations'!G4,"(cy)","(cu. m)")</f>
        <v>(cy)</v>
      </c>
      <c r="AW41" s="95">
        <f>IF('System Calculations'!C16='System Calculations'!G4,'System Calculations'!C64,'System Calculations'!E63)</f>
        <v>107.68153457014813</v>
      </c>
      <c r="AX41" s="107"/>
      <c r="AY41" s="96"/>
      <c r="AZ41" s="33" t="str">
        <f>IF('System Calculations'!C16='System Calculations'!G4,"(sy)","(sq. m)")</f>
        <v>(sy)</v>
      </c>
    </row>
    <row r="42" spans="6:56" ht="7.5" customHeight="1" x14ac:dyDescent="0.2"/>
    <row r="46" spans="6:56" x14ac:dyDescent="0.2">
      <c r="BD46" s="46" t="s">
        <v>157</v>
      </c>
    </row>
  </sheetData>
  <sheetProtection algorithmName="SHA-512" hashValue="TVcuWFbPZKz35n/P7HeXXbUCO746P0SRyCbo0PFcGbyRtHxkVl7+v47yyGUHAgxGV2Nb7kVy2X/zsWAtbrqkvg==" saltValue="RgnuZABXJzcAtmDdoBOijg==" spinCount="100000" sheet="1" selectLockedCells="1"/>
  <customSheetViews>
    <customSheetView guid="{907EC655-306C-4FA9-B4FE-B8C798D6276E}" scale="75" showPageBreaks="1" fitToPage="1" printArea="1" view="pageLayout" topLeftCell="A22">
      <selection activeCell="AQ48" sqref="AQ48"/>
      <pageMargins left="0" right="0" top="0" bottom="0" header="0" footer="0"/>
      <printOptions horizontalCentered="1" verticalCentered="1"/>
      <pageSetup orientation="landscape" horizontalDpi="4294967292" verticalDpi="4294967292" r:id="rId1"/>
    </customSheetView>
  </customSheetViews>
  <mergeCells count="43">
    <mergeCell ref="AJ12:AX12"/>
    <mergeCell ref="AC13:AD13"/>
    <mergeCell ref="AE41:AG41"/>
    <mergeCell ref="AW41:AY41"/>
    <mergeCell ref="AP13:AQ13"/>
    <mergeCell ref="F19:BD19"/>
    <mergeCell ref="F38:BD38"/>
    <mergeCell ref="H39:K40"/>
    <mergeCell ref="P39:Q40"/>
    <mergeCell ref="W39:Z40"/>
    <mergeCell ref="AD39:AH40"/>
    <mergeCell ref="K17:L17"/>
    <mergeCell ref="Z34:AC36"/>
    <mergeCell ref="AC15:AD15"/>
    <mergeCell ref="T15:U15"/>
    <mergeCell ref="AM41:AN41"/>
    <mergeCell ref="F9:BD9"/>
    <mergeCell ref="AB6:AC6"/>
    <mergeCell ref="K6:S6"/>
    <mergeCell ref="K7:S7"/>
    <mergeCell ref="X7:AC7"/>
    <mergeCell ref="F36:M36"/>
    <mergeCell ref="F4:BD4"/>
    <mergeCell ref="X41:Y41"/>
    <mergeCell ref="P41:Q41"/>
    <mergeCell ref="I41:J41"/>
    <mergeCell ref="K13:L13"/>
    <mergeCell ref="T13:U13"/>
    <mergeCell ref="AS13:AU13"/>
    <mergeCell ref="AI6:AM6"/>
    <mergeCell ref="AI7:AO7"/>
    <mergeCell ref="G15:J15"/>
    <mergeCell ref="P15:S15"/>
    <mergeCell ref="K15:L15"/>
    <mergeCell ref="AU6:BB6"/>
    <mergeCell ref="AU7:BB7"/>
    <mergeCell ref="AL13:AN13"/>
    <mergeCell ref="P13:S13"/>
    <mergeCell ref="F17:J17"/>
    <mergeCell ref="Z13:AB13"/>
    <mergeCell ref="X15:AB15"/>
    <mergeCell ref="F34:M34"/>
    <mergeCell ref="G13:J13"/>
  </mergeCells>
  <phoneticPr fontId="5" type="noConversion"/>
  <conditionalFormatting sqref="AV12:AX12">
    <cfRule type="expression" dxfId="8" priority="1">
      <formula>AND(BC13&gt;0,BL13&gt;0)</formula>
    </cfRule>
  </conditionalFormatting>
  <conditionalFormatting sqref="AP12:AR12 AM12">
    <cfRule type="expression" dxfId="7" priority="38">
      <formula>AND(#REF!&gt;0,BC13&gt;0)</formula>
    </cfRule>
  </conditionalFormatting>
  <conditionalFormatting sqref="AS13:AU13">
    <cfRule type="expression" dxfId="6" priority="43">
      <formula>AND(AL13&gt;0,AS13&gt;0)</formula>
    </cfRule>
  </conditionalFormatting>
  <conditionalFormatting sqref="AL13:AN13">
    <cfRule type="expression" dxfId="5" priority="47">
      <formula>AND(AL13&gt;0,AS13&gt;0)</formula>
    </cfRule>
  </conditionalFormatting>
  <conditionalFormatting sqref="AS12:AU12">
    <cfRule type="expression" dxfId="4" priority="48">
      <formula>AND(AS13&gt;0,BI13&gt;0)</formula>
    </cfRule>
  </conditionalFormatting>
  <conditionalFormatting sqref="AP13:AQ13">
    <cfRule type="expression" dxfId="3" priority="50">
      <formula>AND(AL13&gt;0,AS13&gt;0)</formula>
    </cfRule>
  </conditionalFormatting>
  <conditionalFormatting sqref="AJ12:AL12">
    <cfRule type="expression" dxfId="2" priority="51">
      <formula>AND(AL13&gt;0,AS13&gt;0)</formula>
    </cfRule>
  </conditionalFormatting>
  <conditionalFormatting sqref="AN12:AO12">
    <cfRule type="expression" dxfId="1" priority="53">
      <formula>AND(AP13&gt;0,BD13&gt;0)</formula>
    </cfRule>
  </conditionalFormatting>
  <printOptions horizontalCentered="1" verticalCentered="1"/>
  <pageMargins left="0" right="0" top="0" bottom="0" header="0" footer="0"/>
  <pageSetup scale="85" orientation="landscape" horizontalDpi="4294967292" verticalDpi="4294967292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819" r:id="rId5" name="Drop Down 699">
              <controlPr defaultSize="0" autoLine="0" autoPict="0">
                <anchor moveWithCells="1">
                  <from>
                    <xdr:col>24</xdr:col>
                    <xdr:colOff>83820</xdr:colOff>
                    <xdr:row>10</xdr:row>
                    <xdr:rowOff>7620</xdr:rowOff>
                  </from>
                  <to>
                    <xdr:col>28</xdr:col>
                    <xdr:colOff>83820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20" r:id="rId6" name="Drop Down 700">
              <controlPr defaultSize="0" autoLine="0" autoPict="0">
                <anchor moveWithCells="1">
                  <from>
                    <xdr:col>50</xdr:col>
                    <xdr:colOff>106680</xdr:colOff>
                    <xdr:row>10</xdr:row>
                    <xdr:rowOff>7620</xdr:rowOff>
                  </from>
                  <to>
                    <xdr:col>55</xdr:col>
                    <xdr:colOff>182880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24" r:id="rId7" name="Drop Down 704">
              <controlPr defaultSize="0" autoLine="0" autoPict="0">
                <anchor moveWithCells="1">
                  <from>
                    <xdr:col>40</xdr:col>
                    <xdr:colOff>60960</xdr:colOff>
                    <xdr:row>10</xdr:row>
                    <xdr:rowOff>22860</xdr:rowOff>
                  </from>
                  <to>
                    <xdr:col>44</xdr:col>
                    <xdr:colOff>68580</xdr:colOff>
                    <xdr:row>11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18" r:id="rId8" name="Drop Down 698">
              <controlPr defaultSize="0" autoLine="0" autoPict="0">
                <anchor moveWithCells="1">
                  <from>
                    <xdr:col>16</xdr:col>
                    <xdr:colOff>60960</xdr:colOff>
                    <xdr:row>9</xdr:row>
                    <xdr:rowOff>114300</xdr:rowOff>
                  </from>
                  <to>
                    <xdr:col>20</xdr:col>
                    <xdr:colOff>22860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23" r:id="rId9" name="Drop Down 703">
              <controlPr defaultSize="0" autoLine="0" autoPict="0">
                <anchor moveWithCells="1">
                  <from>
                    <xdr:col>32</xdr:col>
                    <xdr:colOff>68580</xdr:colOff>
                    <xdr:row>10</xdr:row>
                    <xdr:rowOff>7620</xdr:rowOff>
                  </from>
                  <to>
                    <xdr:col>36</xdr:col>
                    <xdr:colOff>68580</xdr:colOff>
                    <xdr:row>11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5" r:id="rId10" name="Drop Down 2179">
              <controlPr defaultSize="0" autoLine="0" autoPict="0">
                <anchor moveWithCells="1">
                  <from>
                    <xdr:col>8</xdr:col>
                    <xdr:colOff>182880</xdr:colOff>
                    <xdr:row>10</xdr:row>
                    <xdr:rowOff>22860</xdr:rowOff>
                  </from>
                  <to>
                    <xdr:col>12</xdr:col>
                    <xdr:colOff>175260</xdr:colOff>
                    <xdr:row>11</xdr:row>
                    <xdr:rowOff>7620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1" id="{FC598B9B-5767-435F-A7B7-4F5D902A9153}">
            <xm:f>'System Calculations'!$C$52&lt;'System Calculations'!$C$49</xm:f>
            <x14:dxf>
              <font>
                <color rgb="FFFF0000"/>
              </font>
            </x14:dxf>
          </x14:cfRule>
          <xm:sqref>R33:V33 Q34</xm:sqref>
        </x14:conditionalFormatting>
      </x14:conditionalFormattings>
    </ext>
    <ext xmlns:mx="http://schemas.microsoft.com/office/mac/excel/2008/main" uri="{64002731-A6B0-56B0-2670-7721B7C09600}">
      <mx:PLV Mode="1" OnePage="0" WScale="49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6">
    <pageSetUpPr fitToPage="1"/>
  </sheetPr>
  <dimension ref="A2:R72"/>
  <sheetViews>
    <sheetView showGridLines="0" topLeftCell="A3" zoomScale="90" zoomScaleNormal="90" workbookViewId="0">
      <selection activeCell="R24" sqref="R24"/>
    </sheetView>
  </sheetViews>
  <sheetFormatPr defaultColWidth="9" defaultRowHeight="10.199999999999999" x14ac:dyDescent="0.2"/>
  <cols>
    <col min="2" max="2" width="29.7109375" customWidth="1"/>
    <col min="3" max="3" width="12.28515625" customWidth="1"/>
    <col min="4" max="4" width="8.7109375" customWidth="1"/>
    <col min="5" max="5" width="12.42578125" customWidth="1"/>
    <col min="7" max="7" width="25" customWidth="1"/>
    <col min="8" max="8" width="12.7109375" customWidth="1"/>
    <col min="9" max="9" width="10.85546875" customWidth="1"/>
    <col min="10" max="10" width="18.7109375" customWidth="1"/>
    <col min="11" max="11" width="12.7109375" customWidth="1"/>
    <col min="13" max="13" width="19.28515625" customWidth="1"/>
    <col min="14" max="14" width="14" customWidth="1"/>
    <col min="15" max="15" width="11.42578125" customWidth="1"/>
    <col min="16" max="16" width="24.85546875" customWidth="1"/>
    <col min="17" max="17" width="10.7109375" customWidth="1"/>
    <col min="18" max="18" width="27" customWidth="1"/>
  </cols>
  <sheetData>
    <row r="2" spans="1:17" ht="13.2" x14ac:dyDescent="0.25">
      <c r="B2" s="59" t="s">
        <v>116</v>
      </c>
    </row>
    <row r="3" spans="1:17" ht="40.799999999999997" x14ac:dyDescent="0.2">
      <c r="B3" s="47" t="s">
        <v>112</v>
      </c>
      <c r="C3" s="49" t="s">
        <v>33</v>
      </c>
      <c r="D3" s="49" t="s">
        <v>34</v>
      </c>
      <c r="E3" s="49" t="s">
        <v>35</v>
      </c>
      <c r="F3" s="49" t="s">
        <v>36</v>
      </c>
      <c r="G3" s="49" t="s">
        <v>132</v>
      </c>
      <c r="H3" s="49" t="s">
        <v>135</v>
      </c>
      <c r="I3" s="49" t="s">
        <v>144</v>
      </c>
      <c r="P3" s="26"/>
      <c r="Q3" s="44"/>
    </row>
    <row r="4" spans="1:17" x14ac:dyDescent="0.2">
      <c r="B4" s="47">
        <v>1</v>
      </c>
      <c r="C4" s="48">
        <v>12</v>
      </c>
      <c r="D4" s="48">
        <v>0</v>
      </c>
      <c r="E4" s="48" t="s">
        <v>37</v>
      </c>
      <c r="F4" s="48" t="s">
        <v>38</v>
      </c>
      <c r="G4" s="48" t="s">
        <v>133</v>
      </c>
      <c r="H4" s="48">
        <v>300</v>
      </c>
      <c r="I4" s="48" t="str">
        <f>IF($C$16=$G$4,C4&amp;" in",IF($C$16=$G$5,H4&amp;" mm","NO UNIT"))</f>
        <v>12 in</v>
      </c>
      <c r="P4" s="26"/>
      <c r="Q4" s="25"/>
    </row>
    <row r="5" spans="1:17" x14ac:dyDescent="0.2">
      <c r="B5" s="47">
        <v>2</v>
      </c>
      <c r="C5" s="48">
        <v>15</v>
      </c>
      <c r="D5" s="48">
        <v>1</v>
      </c>
      <c r="E5" s="48" t="s">
        <v>40</v>
      </c>
      <c r="F5" s="48" t="s">
        <v>41</v>
      </c>
      <c r="G5" s="48" t="s">
        <v>134</v>
      </c>
      <c r="H5" s="48">
        <v>375</v>
      </c>
      <c r="I5" s="48" t="str">
        <f t="shared" ref="I5:I12" si="0">IF($C$16=$G$4,C5&amp;" in",IF($C$16=$G$5,H5&amp;" mm","NO UNIT"))</f>
        <v>15 in</v>
      </c>
      <c r="P5" s="26"/>
      <c r="Q5" s="25"/>
    </row>
    <row r="6" spans="1:17" x14ac:dyDescent="0.2">
      <c r="B6" s="47">
        <v>3</v>
      </c>
      <c r="C6" s="48">
        <v>18</v>
      </c>
      <c r="D6" s="48">
        <v>2</v>
      </c>
      <c r="E6" s="48"/>
      <c r="F6" s="48"/>
      <c r="G6" s="48"/>
      <c r="H6" s="48">
        <v>450</v>
      </c>
      <c r="I6" s="48" t="str">
        <f t="shared" si="0"/>
        <v>18 in</v>
      </c>
      <c r="P6" s="26"/>
    </row>
    <row r="7" spans="1:17" x14ac:dyDescent="0.2">
      <c r="B7" s="47">
        <v>4</v>
      </c>
      <c r="C7" s="48">
        <v>24</v>
      </c>
      <c r="D7" s="48"/>
      <c r="E7" s="48"/>
      <c r="F7" s="48"/>
      <c r="G7" s="48"/>
      <c r="H7" s="48">
        <v>600</v>
      </c>
      <c r="I7" s="48" t="str">
        <f t="shared" si="0"/>
        <v>24 in</v>
      </c>
      <c r="P7" s="26"/>
      <c r="Q7" s="25"/>
    </row>
    <row r="8" spans="1:17" x14ac:dyDescent="0.2">
      <c r="B8" s="47">
        <v>5</v>
      </c>
      <c r="C8" s="48">
        <v>30</v>
      </c>
      <c r="D8" s="48"/>
      <c r="E8" s="48"/>
      <c r="F8" s="48"/>
      <c r="G8" s="48"/>
      <c r="H8" s="48">
        <v>750</v>
      </c>
      <c r="I8" s="48" t="str">
        <f t="shared" si="0"/>
        <v>30 in</v>
      </c>
      <c r="P8" s="26"/>
      <c r="Q8" s="25"/>
    </row>
    <row r="9" spans="1:17" x14ac:dyDescent="0.2">
      <c r="B9" s="47">
        <v>6</v>
      </c>
      <c r="C9" s="48">
        <v>36</v>
      </c>
      <c r="D9" s="48"/>
      <c r="E9" s="48"/>
      <c r="F9" s="48"/>
      <c r="G9" s="48"/>
      <c r="H9" s="48">
        <v>900</v>
      </c>
      <c r="I9" s="48" t="str">
        <f t="shared" si="0"/>
        <v>36 in</v>
      </c>
      <c r="P9" s="26"/>
      <c r="Q9" s="25"/>
    </row>
    <row r="10" spans="1:17" x14ac:dyDescent="0.2">
      <c r="B10" s="47">
        <v>7</v>
      </c>
      <c r="C10" s="48">
        <v>42</v>
      </c>
      <c r="D10" s="48"/>
      <c r="E10" s="48"/>
      <c r="F10" s="48"/>
      <c r="G10" s="48"/>
      <c r="H10" s="48">
        <v>1050</v>
      </c>
      <c r="I10" s="48" t="str">
        <f t="shared" si="0"/>
        <v>42 in</v>
      </c>
      <c r="P10" s="26"/>
    </row>
    <row r="11" spans="1:17" x14ac:dyDescent="0.2">
      <c r="B11" s="47">
        <v>8</v>
      </c>
      <c r="C11" s="48">
        <v>48</v>
      </c>
      <c r="D11" s="48"/>
      <c r="E11" s="48"/>
      <c r="F11" s="48"/>
      <c r="G11" s="48"/>
      <c r="H11" s="48">
        <v>1200</v>
      </c>
      <c r="I11" s="48" t="str">
        <f t="shared" si="0"/>
        <v>48 in</v>
      </c>
      <c r="P11" s="26"/>
    </row>
    <row r="12" spans="1:17" x14ac:dyDescent="0.2">
      <c r="B12" s="47">
        <v>9</v>
      </c>
      <c r="C12" s="48">
        <v>60</v>
      </c>
      <c r="D12" s="48"/>
      <c r="E12" s="48"/>
      <c r="F12" s="48"/>
      <c r="G12" s="48"/>
      <c r="H12" s="48">
        <v>1500</v>
      </c>
      <c r="I12" s="48" t="str">
        <f t="shared" si="0"/>
        <v>60 in</v>
      </c>
      <c r="P12" s="26"/>
    </row>
    <row r="13" spans="1:17" x14ac:dyDescent="0.2">
      <c r="P13" s="26"/>
    </row>
    <row r="15" spans="1:17" ht="28.2" customHeight="1" thickBot="1" x14ac:dyDescent="0.35">
      <c r="A15" s="60" t="s">
        <v>118</v>
      </c>
      <c r="B15" s="54" t="s">
        <v>150</v>
      </c>
      <c r="C15" s="73" t="s">
        <v>133</v>
      </c>
      <c r="D15" s="74"/>
      <c r="E15" s="75" t="s">
        <v>143</v>
      </c>
      <c r="G15" s="68" t="s">
        <v>115</v>
      </c>
      <c r="H15" s="68"/>
      <c r="I15" s="68"/>
    </row>
    <row r="16" spans="1:17" ht="14.4" x14ac:dyDescent="0.3">
      <c r="A16" s="11">
        <v>1</v>
      </c>
      <c r="B16" t="s">
        <v>132</v>
      </c>
      <c r="C16" s="46" t="str">
        <f>INDEX(Profile,A16)</f>
        <v>Standard</v>
      </c>
      <c r="G16" s="52" t="s">
        <v>42</v>
      </c>
      <c r="H16" s="3"/>
      <c r="I16" s="3"/>
      <c r="J16" s="4" t="s">
        <v>43</v>
      </c>
      <c r="K16" s="3"/>
      <c r="L16" s="3"/>
      <c r="M16" s="4" t="s">
        <v>44</v>
      </c>
      <c r="N16" s="3"/>
      <c r="O16" s="3"/>
      <c r="P16" s="3"/>
      <c r="Q16" s="5"/>
    </row>
    <row r="17" spans="1:18" x14ac:dyDescent="0.2">
      <c r="A17" s="11">
        <v>2</v>
      </c>
      <c r="B17" t="s">
        <v>48</v>
      </c>
      <c r="C17" s="19" t="str">
        <f>INDEX(Perforated,A17)</f>
        <v>Perforated</v>
      </c>
      <c r="E17" s="25"/>
      <c r="G17" s="6" t="s">
        <v>43</v>
      </c>
      <c r="H17" s="13">
        <f>IF($C$21=$C$22,'System Calculations'!K17,'System Calculations'!K18)</f>
        <v>9.2511788036948452</v>
      </c>
      <c r="J17" t="s">
        <v>45</v>
      </c>
      <c r="K17" s="13">
        <f>(2*VLOOKUP('System Calculations'!$C$21,Tables!C6:Q14,13,FALSE))+(('System Calculations'!$C$24-2)*VLOOKUP('System Calculations'!$C$21,Tables!C6:Q14,10,FALSE))</f>
        <v>9.2511788036948452</v>
      </c>
      <c r="L17" s="25" t="s">
        <v>86</v>
      </c>
      <c r="M17" t="s">
        <v>46</v>
      </c>
      <c r="N17" s="13">
        <f>(((VLOOKUP('System Calculations'!$C$22,Tables!C6:Q14,4,FALSE))*('System Calculations'!$C$24-1))+(VLOOKUP('System Calculations'!$C$21,Tables!C6:Q14,3,FALSE)))/12</f>
        <v>9.6087833333333332</v>
      </c>
      <c r="P17" t="s">
        <v>47</v>
      </c>
      <c r="Q17" s="51">
        <f>VLOOKUP(C22,Tables!C6:Q14,4,0)-VLOOKUP(C22,Tables!C6:Q14,3,0)</f>
        <v>10.6486</v>
      </c>
    </row>
    <row r="18" spans="1:18" x14ac:dyDescent="0.2">
      <c r="A18" s="11"/>
      <c r="B18" t="s">
        <v>52</v>
      </c>
      <c r="C18" s="19">
        <f>Calculator!AC13</f>
        <v>40</v>
      </c>
      <c r="D18" t="s">
        <v>16</v>
      </c>
      <c r="E18" s="25"/>
      <c r="G18" s="6" t="s">
        <v>49</v>
      </c>
      <c r="H18" s="13">
        <f>IF($C$21=$C$22,'System Calculations'!K19,'System Calculations'!K20)</f>
        <v>13.820589349708332</v>
      </c>
      <c r="J18" t="s">
        <v>50</v>
      </c>
      <c r="K18" s="13">
        <f>K17+((VLOOKUP('System Calculations'!$C$21,Tables!C6:Q14,8,FALSE))*(((VLOOKUP('System Calculations'!$C$22,Tables!C6:Q14,4,FALSE)-(2*VLOOKUP('System Calculations'!$C$21,Tables!C6:Q14,12,FALSE)))/12)*('System Calculations'!$C$24-1)+(((VLOOKUP('System Calculations'!$C$21,Tables!C6:Q14,14,FALSE))/12)*'System Calculations'!$C$24)))</f>
        <v>11.102212137028179</v>
      </c>
      <c r="L18" s="25" t="s">
        <v>120</v>
      </c>
      <c r="M18" t="s">
        <v>51</v>
      </c>
      <c r="N18" s="13">
        <f>(VLOOKUP('System Calculations'!$C$21,Tables!C6:Q14,12,FALSE)+(0.5*VLOOKUP('System Calculations'!$C$21,Tables!C6:Q14,3,FALSE)))/12</f>
        <v>1.6555416666666665</v>
      </c>
      <c r="Q18" s="7"/>
    </row>
    <row r="19" spans="1:18" x14ac:dyDescent="0.2">
      <c r="A19" s="11">
        <v>1</v>
      </c>
      <c r="B19" t="s">
        <v>36</v>
      </c>
      <c r="C19" s="19" t="str">
        <f>INDEX(YesNo,A19)</f>
        <v>Yes</v>
      </c>
      <c r="E19" s="25"/>
      <c r="G19" s="62" t="s">
        <v>129</v>
      </c>
      <c r="H19" s="13">
        <f>IF($C$21=$C$22,N18,N19)</f>
        <v>1.6555416666666665</v>
      </c>
      <c r="J19" t="s">
        <v>53</v>
      </c>
      <c r="K19" s="13">
        <f>((4*VLOOKUP('System Calculations'!$C$21,Tables!C6:Q14,12,FALSE)/12)*VLOOKUP('System Calculations'!$C$21,Tables!C6:Q14,15,FALSE))+(('System Calculations'!$C$24-2)*VLOOKUP('System Calculations'!$C$21,Tables!C6:Q14,11,FALSE))</f>
        <v>13.820589349708332</v>
      </c>
      <c r="L19" s="25" t="s">
        <v>86</v>
      </c>
      <c r="M19" t="s">
        <v>54</v>
      </c>
      <c r="N19" s="13">
        <f>N18+(VLOOKUP('System Calculations'!$C$21,Tables!C6:Q14,14,FALSE)/12)</f>
        <v>2.122208333333333</v>
      </c>
      <c r="Q19" s="7"/>
    </row>
    <row r="20" spans="1:18" x14ac:dyDescent="0.2">
      <c r="A20" s="11">
        <v>3</v>
      </c>
      <c r="B20" t="s">
        <v>56</v>
      </c>
      <c r="C20" s="19">
        <f>INDEX(HeaderConfiguration,A20)</f>
        <v>2</v>
      </c>
      <c r="E20" s="25"/>
      <c r="G20" s="6"/>
      <c r="J20" t="s">
        <v>55</v>
      </c>
      <c r="K20" s="13">
        <f>K19+((VLOOKUP('System Calculations'!$C$21,Tables!C6:Q14,15,FALSE))*(((VLOOKUP('System Calculations'!$C$22,Tables!C6:Q14,4,FALSE)-(2*VLOOKUP('System Calculations'!$C$21,Tables!C6:Q14,12,FALSE)))/12)*('System Calculations'!$C$24-1)+(((VLOOKUP('System Calculations'!$C$21,Tables!C6:Q14,14,FALSE))/12)*'System Calculations'!$C$24)))</f>
        <v>16.533346016374999</v>
      </c>
      <c r="L20" s="25" t="s">
        <v>120</v>
      </c>
      <c r="N20" s="13"/>
      <c r="Q20" s="7"/>
    </row>
    <row r="21" spans="1:18" ht="12" customHeight="1" x14ac:dyDescent="0.2">
      <c r="A21" s="11">
        <v>1</v>
      </c>
      <c r="B21" t="s">
        <v>61</v>
      </c>
      <c r="C21" s="19">
        <f>INDEX(PipeSizes,A21)</f>
        <v>12</v>
      </c>
      <c r="D21" t="s">
        <v>62</v>
      </c>
      <c r="E21" s="25">
        <f>INDEX(H4:H12,A21)</f>
        <v>300</v>
      </c>
      <c r="F21" s="25" t="s">
        <v>145</v>
      </c>
      <c r="G21" s="6"/>
      <c r="K21" s="13"/>
      <c r="N21" s="13"/>
      <c r="Q21" s="7"/>
    </row>
    <row r="22" spans="1:18" ht="12.6" customHeight="1" x14ac:dyDescent="0.3">
      <c r="A22" s="11">
        <v>1</v>
      </c>
      <c r="B22" t="s">
        <v>67</v>
      </c>
      <c r="C22" s="19">
        <f>INDEX(PipeSizes,A22)</f>
        <v>12</v>
      </c>
      <c r="D22" t="s">
        <v>62</v>
      </c>
      <c r="E22" s="25">
        <f>INDEX(H4:H12,A22)</f>
        <v>300</v>
      </c>
      <c r="F22" s="25" t="s">
        <v>145</v>
      </c>
      <c r="G22" s="8" t="s">
        <v>57</v>
      </c>
      <c r="J22" s="50" t="s">
        <v>58</v>
      </c>
      <c r="K22" s="13"/>
      <c r="M22" s="50" t="s">
        <v>59</v>
      </c>
      <c r="N22" s="13"/>
      <c r="P22" s="50" t="s">
        <v>60</v>
      </c>
      <c r="Q22" s="7"/>
    </row>
    <row r="23" spans="1:18" x14ac:dyDescent="0.2">
      <c r="B23" t="s">
        <v>65</v>
      </c>
      <c r="C23" s="76">
        <f>IF(AND(C55&gt;0,C56=0),C55,IF(AND(C56&gt;0,C55=0),C57,"Error"))</f>
        <v>29.65</v>
      </c>
      <c r="D23" t="s">
        <v>71</v>
      </c>
      <c r="E23" s="72">
        <f>C23/G31</f>
        <v>9.0373197108057681</v>
      </c>
      <c r="F23" s="25" t="s">
        <v>148</v>
      </c>
      <c r="G23" s="6" t="s">
        <v>63</v>
      </c>
      <c r="H23" s="13">
        <f>K23+IF($C$19="Yes",$C$20*H17,0)</f>
        <v>122.97567056572302</v>
      </c>
      <c r="I23" t="s">
        <v>86</v>
      </c>
      <c r="J23" t="s">
        <v>64</v>
      </c>
      <c r="K23" s="13">
        <f>($C$23-($C$20*H19))*$C$24*VLOOKUP($C$22,Tables!C6:Q14,8,FALSE)</f>
        <v>104.47331295833332</v>
      </c>
      <c r="L23" s="25" t="s">
        <v>86</v>
      </c>
      <c r="M23" s="25" t="s">
        <v>126</v>
      </c>
      <c r="N23" s="13">
        <f>$C$23</f>
        <v>29.65</v>
      </c>
      <c r="O23" s="25" t="s">
        <v>86</v>
      </c>
      <c r="P23" t="s">
        <v>66</v>
      </c>
      <c r="Q23" s="51">
        <f>N23+(2*VLOOKUP($C$22,Tables!C6:Q14,6,FALSE))+(2*C30/12)</f>
        <v>30.983333333333331</v>
      </c>
      <c r="R23" s="25"/>
    </row>
    <row r="24" spans="1:18" x14ac:dyDescent="0.2">
      <c r="B24" t="s">
        <v>74</v>
      </c>
      <c r="C24" s="19">
        <f>Calculator!K13</f>
        <v>5</v>
      </c>
      <c r="E24" s="25"/>
      <c r="G24" s="62" t="s">
        <v>122</v>
      </c>
      <c r="H24" s="13">
        <f>K24+$C$20*H18</f>
        <v>180.75061822858331</v>
      </c>
      <c r="I24" s="25" t="s">
        <v>86</v>
      </c>
      <c r="J24" t="s">
        <v>68</v>
      </c>
      <c r="K24" s="13">
        <f>($C$23-($C$20*H19))*$C$24*VLOOKUP($C$22,Tables!C6:Q14,15,FALSE)</f>
        <v>153.10943952916665</v>
      </c>
      <c r="L24" s="25" t="s">
        <v>86</v>
      </c>
      <c r="M24" s="25" t="s">
        <v>127</v>
      </c>
      <c r="N24" s="13">
        <f>((VLOOKUP($C$22,Tables!C6:Q14,4,FALSE)*($C$24-1))+VLOOKUP($C$22,Tables!C6:Q14,3,FALSE))/12</f>
        <v>9.6087833333333332</v>
      </c>
      <c r="O24" s="25" t="s">
        <v>86</v>
      </c>
      <c r="P24" t="s">
        <v>70</v>
      </c>
      <c r="Q24" s="82">
        <f>N24+(2*VLOOKUP($C$22,Tables!C6:Q14,6,FALSE))+(2*C30/12)</f>
        <v>10.942116666666667</v>
      </c>
      <c r="R24" s="25"/>
    </row>
    <row r="25" spans="1:18" x14ac:dyDescent="0.2">
      <c r="B25" t="s">
        <v>76</v>
      </c>
      <c r="C25" s="76">
        <f>IF(C16=G4,Calculator!K17,Calculator!K17/I32)</f>
        <v>0</v>
      </c>
      <c r="D25" t="s">
        <v>62</v>
      </c>
      <c r="E25" s="25">
        <f>C25*$I$32</f>
        <v>0</v>
      </c>
      <c r="F25" s="25" t="s">
        <v>145</v>
      </c>
      <c r="G25" s="6" t="s">
        <v>72</v>
      </c>
      <c r="H25" s="13">
        <f>(Q28*Q25)-H24</f>
        <v>343.10245427939356</v>
      </c>
      <c r="I25" t="s">
        <v>86</v>
      </c>
      <c r="M25" s="25" t="s">
        <v>128</v>
      </c>
      <c r="N25" s="13">
        <f>($C$23-($C$20*H19))</f>
        <v>26.338916666666666</v>
      </c>
      <c r="O25" s="25" t="s">
        <v>86</v>
      </c>
      <c r="P25" s="25" t="s">
        <v>123</v>
      </c>
      <c r="Q25" s="83">
        <f>(VLOOKUP($C$22,Tables!C6:Q14,7,FALSE)+$C$26+VLOOKUP($C$22,Tables!C6:Q14,3,FALSE)+$C$25)/12</f>
        <v>1.5451833333333334</v>
      </c>
      <c r="R25" s="25"/>
    </row>
    <row r="26" spans="1:18" x14ac:dyDescent="0.2">
      <c r="B26" t="s">
        <v>79</v>
      </c>
      <c r="C26" s="19">
        <f>IF(C16=G4,Calculator!T15,Calculator!T15/I32)</f>
        <v>0</v>
      </c>
      <c r="D26" t="s">
        <v>62</v>
      </c>
      <c r="E26" s="25">
        <f>C26*$I$32</f>
        <v>0</v>
      </c>
      <c r="F26" s="25" t="s">
        <v>145</v>
      </c>
      <c r="G26" s="6" t="s">
        <v>75</v>
      </c>
      <c r="H26" s="43">
        <f>H25/27</f>
        <v>12.707498306644206</v>
      </c>
      <c r="I26" t="s">
        <v>86</v>
      </c>
      <c r="P26" s="25" t="s">
        <v>124</v>
      </c>
      <c r="Q26" s="51">
        <f>((VLOOKUP($C$22,Tables!C6:Q14,7,FALSE)+$C$26+((VLOOKUP($C$22,Tables!C6:Q14,3,FALSE)-VLOOKUP($C$22,Tables!C6:Q14,2,FALSE))/2))/12)+$C$27</f>
        <v>14.436070833333334</v>
      </c>
      <c r="R26" s="25"/>
    </row>
    <row r="27" spans="1:18" x14ac:dyDescent="0.2">
      <c r="B27" s="25" t="s">
        <v>81</v>
      </c>
      <c r="C27" s="76">
        <f>(C28+C29)/2</f>
        <v>14</v>
      </c>
      <c r="D27" t="s">
        <v>71</v>
      </c>
      <c r="E27" s="72">
        <f>C27/$G$31</f>
        <v>4.267199863449604</v>
      </c>
      <c r="F27" s="25" t="s">
        <v>148</v>
      </c>
      <c r="G27" s="6" t="s">
        <v>77</v>
      </c>
      <c r="H27" s="13">
        <f>IF($C$17="Perforated",(($C$18/100)*H25),0)</f>
        <v>137.24098171175743</v>
      </c>
      <c r="I27" t="s">
        <v>86</v>
      </c>
      <c r="P27" s="25" t="s">
        <v>125</v>
      </c>
      <c r="Q27" s="51">
        <f>Q26-((VLOOKUP($C$22,Tables!C6:Q14,7,FALSE)+$C$26)/12)-(VLOOKUP($C$22,Tables!C6:Q14,3,FALSE)/12)</f>
        <v>12.8908875</v>
      </c>
      <c r="R27" s="25"/>
    </row>
    <row r="28" spans="1:18" ht="10.8" thickBot="1" x14ac:dyDescent="0.25">
      <c r="B28" s="25" t="s">
        <v>82</v>
      </c>
      <c r="C28" s="76">
        <f>IF(C16=G4,Calculator!K15,Calculator!K15*G31)</f>
        <v>20</v>
      </c>
      <c r="D28" t="s">
        <v>71</v>
      </c>
      <c r="E28" s="72">
        <f>C28/$G$31</f>
        <v>6.095999804928006</v>
      </c>
      <c r="F28" s="25" t="s">
        <v>148</v>
      </c>
      <c r="G28" s="9" t="s">
        <v>80</v>
      </c>
      <c r="H28" s="65">
        <f>H27+H23</f>
        <v>260.21665227748042</v>
      </c>
      <c r="I28" s="61" t="s">
        <v>86</v>
      </c>
      <c r="J28" s="10"/>
      <c r="K28" s="10"/>
      <c r="L28" s="10"/>
      <c r="M28" s="10"/>
      <c r="N28" s="10"/>
      <c r="O28" s="10"/>
      <c r="P28" s="61" t="s">
        <v>121</v>
      </c>
      <c r="Q28" s="64">
        <f>Q23*Q24</f>
        <v>339.02324805555554</v>
      </c>
      <c r="R28" s="25"/>
    </row>
    <row r="29" spans="1:18" ht="12" customHeight="1" x14ac:dyDescent="0.2">
      <c r="B29" s="25" t="s">
        <v>83</v>
      </c>
      <c r="C29" s="76">
        <f>IF(C16=G4,Calculator!T13,Calculator!T13*G31)</f>
        <v>8</v>
      </c>
      <c r="D29" t="s">
        <v>71</v>
      </c>
      <c r="E29" s="72">
        <f t="shared" ref="E29" si="1">C29/$G$31</f>
        <v>2.4383999219712025</v>
      </c>
      <c r="F29" s="25" t="s">
        <v>148</v>
      </c>
      <c r="R29" s="13"/>
    </row>
    <row r="30" spans="1:18" x14ac:dyDescent="0.2">
      <c r="B30" s="25" t="s">
        <v>84</v>
      </c>
      <c r="C30" s="19">
        <f>IF(C16=G4,Calculator!AC15,Calculator!AC15/I32)</f>
        <v>0</v>
      </c>
      <c r="D30" t="s">
        <v>62</v>
      </c>
      <c r="E30" s="25">
        <f>C30*$I$32</f>
        <v>0</v>
      </c>
      <c r="F30" s="25" t="s">
        <v>145</v>
      </c>
      <c r="G30" s="25" t="s">
        <v>146</v>
      </c>
      <c r="N30" s="74" t="s">
        <v>156</v>
      </c>
    </row>
    <row r="31" spans="1:18" ht="14.4" x14ac:dyDescent="0.3">
      <c r="B31" s="54" t="s">
        <v>85</v>
      </c>
      <c r="C31" s="19"/>
      <c r="G31" s="1">
        <v>3.28084</v>
      </c>
      <c r="H31" s="25" t="s">
        <v>147</v>
      </c>
      <c r="I31" s="1">
        <v>1</v>
      </c>
      <c r="J31" s="25" t="s">
        <v>148</v>
      </c>
      <c r="N31" t="s">
        <v>69</v>
      </c>
      <c r="P31" s="77" t="str">
        <f>IF($C$16=$G$4,ROUND(C35,1)&amp;" ft",ROUND(E35,1)&amp;" m")</f>
        <v>9.6 ft</v>
      </c>
    </row>
    <row r="32" spans="1:18" x14ac:dyDescent="0.2">
      <c r="B32" t="s">
        <v>63</v>
      </c>
      <c r="C32" s="13">
        <f>H23</f>
        <v>122.97567056572302</v>
      </c>
      <c r="D32" t="s">
        <v>87</v>
      </c>
      <c r="E32" s="72">
        <f>C32/$G$33</f>
        <v>3.482279916457538</v>
      </c>
      <c r="F32" s="25" t="s">
        <v>154</v>
      </c>
      <c r="G32" s="1">
        <v>1</v>
      </c>
      <c r="H32" s="25" t="s">
        <v>149</v>
      </c>
      <c r="I32" s="1">
        <v>25.4</v>
      </c>
      <c r="J32" s="25" t="s">
        <v>145</v>
      </c>
      <c r="N32" t="s">
        <v>88</v>
      </c>
      <c r="P32" s="42" t="str">
        <f>IF($C$16=$G$4,ROUND(C36,1)&amp;" ft",ROUND(E36,1)&amp;" m")</f>
        <v>29.7 ft</v>
      </c>
    </row>
    <row r="33" spans="2:17" x14ac:dyDescent="0.2">
      <c r="B33" t="s">
        <v>77</v>
      </c>
      <c r="C33" s="13">
        <f>H27</f>
        <v>137.24098171175743</v>
      </c>
      <c r="D33" t="s">
        <v>87</v>
      </c>
      <c r="E33" s="72">
        <f t="shared" ref="E33" si="2">C33/$G$33</f>
        <v>3.8862281631093403</v>
      </c>
      <c r="F33" s="25" t="s">
        <v>154</v>
      </c>
      <c r="G33" s="1">
        <v>35.314700000000002</v>
      </c>
      <c r="H33" s="25" t="s">
        <v>151</v>
      </c>
      <c r="I33" s="1">
        <v>1</v>
      </c>
      <c r="J33" s="25" t="s">
        <v>154</v>
      </c>
      <c r="N33" t="s">
        <v>89</v>
      </c>
      <c r="P33" s="42" t="str">
        <f>IF($C$16=$G$4,ROUND(C37,1)&amp;" ft",ROUND(E37,1)&amp;" m")</f>
        <v>10.9 ft</v>
      </c>
    </row>
    <row r="34" spans="2:17" x14ac:dyDescent="0.2">
      <c r="B34" t="s">
        <v>80</v>
      </c>
      <c r="C34" s="13">
        <f>H28</f>
        <v>260.21665227748042</v>
      </c>
      <c r="D34" t="s">
        <v>87</v>
      </c>
      <c r="E34" s="72">
        <f>C34/$G$33</f>
        <v>7.3685080795668778</v>
      </c>
      <c r="F34" s="25" t="s">
        <v>154</v>
      </c>
      <c r="G34" s="1">
        <v>10.7639</v>
      </c>
      <c r="H34" s="25" t="s">
        <v>152</v>
      </c>
      <c r="I34" s="1">
        <v>1</v>
      </c>
      <c r="J34" s="25" t="s">
        <v>155</v>
      </c>
      <c r="N34" t="s">
        <v>90</v>
      </c>
      <c r="P34" s="42" t="str">
        <f>IF($C$16=$G$4,ROUND(C38,1)&amp;" ft",ROUND(E38,1)&amp;" m")</f>
        <v>31 ft</v>
      </c>
      <c r="Q34" s="25"/>
    </row>
    <row r="35" spans="2:17" x14ac:dyDescent="0.2">
      <c r="B35" t="s">
        <v>69</v>
      </c>
      <c r="C35" s="14">
        <f>N24</f>
        <v>9.6087833333333332</v>
      </c>
      <c r="D35" t="s">
        <v>71</v>
      </c>
      <c r="E35" s="72">
        <f>C35/$G$31</f>
        <v>2.9287570662797737</v>
      </c>
      <c r="F35" s="25" t="s">
        <v>148</v>
      </c>
      <c r="G35" s="1">
        <v>1.3079499999999999</v>
      </c>
      <c r="H35" s="25" t="s">
        <v>153</v>
      </c>
      <c r="I35" s="1">
        <v>1</v>
      </c>
      <c r="J35" s="25" t="s">
        <v>154</v>
      </c>
      <c r="N35" t="s">
        <v>78</v>
      </c>
      <c r="P35" s="42" t="str">
        <f>IF($C$16=$G$4,ROUND(C41,1)&amp;" ft",ROUND(E41,1)&amp;" m")</f>
        <v>12.9 ft</v>
      </c>
      <c r="Q35" s="25"/>
    </row>
    <row r="36" spans="2:17" x14ac:dyDescent="0.2">
      <c r="B36" t="s">
        <v>88</v>
      </c>
      <c r="C36" s="14">
        <f>N23</f>
        <v>29.65</v>
      </c>
      <c r="D36" t="s">
        <v>71</v>
      </c>
      <c r="E36" s="72">
        <f t="shared" ref="E36:E38" si="3">C36/$G$31</f>
        <v>9.0373197108057681</v>
      </c>
      <c r="F36" s="25" t="s">
        <v>148</v>
      </c>
      <c r="G36" s="1">
        <v>9</v>
      </c>
      <c r="H36" s="25" t="s">
        <v>159</v>
      </c>
      <c r="I36" s="1">
        <v>1</v>
      </c>
      <c r="J36" s="25" t="s">
        <v>158</v>
      </c>
      <c r="N36" t="s">
        <v>73</v>
      </c>
      <c r="P36" s="42" t="str">
        <f>IF($C$16=$G$4,ROUND(C42,1)&amp;" ft",ROUND(E42,1)&amp;" m")</f>
        <v>26.3 ft</v>
      </c>
    </row>
    <row r="37" spans="2:17" ht="12" customHeight="1" x14ac:dyDescent="0.3">
      <c r="B37" t="s">
        <v>89</v>
      </c>
      <c r="C37" s="14">
        <f>Q24</f>
        <v>10.942116666666667</v>
      </c>
      <c r="D37" t="s">
        <v>71</v>
      </c>
      <c r="E37" s="72">
        <f t="shared" si="3"/>
        <v>3.3351570532749744</v>
      </c>
      <c r="F37" s="25" t="s">
        <v>148</v>
      </c>
      <c r="G37" s="50"/>
      <c r="H37" s="25"/>
      <c r="J37" s="50"/>
      <c r="M37" s="50"/>
      <c r="N37" t="s">
        <v>95</v>
      </c>
      <c r="P37" s="42" t="str">
        <f>IF($C$16=$G$4,ROUND(C43,1)&amp;" in",ROUND(E43,1)&amp;" mm")</f>
        <v>0 in</v>
      </c>
    </row>
    <row r="38" spans="2:17" x14ac:dyDescent="0.2">
      <c r="B38" t="s">
        <v>90</v>
      </c>
      <c r="C38" s="14">
        <f>Q23</f>
        <v>30.983333333333331</v>
      </c>
      <c r="D38" t="s">
        <v>71</v>
      </c>
      <c r="E38" s="72">
        <f t="shared" si="3"/>
        <v>9.4437196978009688</v>
      </c>
      <c r="F38" s="25" t="s">
        <v>148</v>
      </c>
      <c r="N38" t="s">
        <v>96</v>
      </c>
      <c r="P38" s="42" t="str">
        <f>IF($C$16=$G$4,ROUND(C44,1)&amp;" in",ROUND(E44,1)&amp;" mm")</f>
        <v>4 in</v>
      </c>
    </row>
    <row r="39" spans="2:17" x14ac:dyDescent="0.2">
      <c r="B39" t="s">
        <v>91</v>
      </c>
      <c r="C39" s="13">
        <f>Q28</f>
        <v>339.02324805555554</v>
      </c>
      <c r="D39" t="s">
        <v>92</v>
      </c>
      <c r="E39" s="72">
        <f>C39/G34</f>
        <v>31.49632085541073</v>
      </c>
      <c r="F39" s="25" t="s">
        <v>155</v>
      </c>
      <c r="N39" t="s">
        <v>97</v>
      </c>
      <c r="P39" s="42" t="str">
        <f>IF($C$16=$G$4,ROUND(C45,1)&amp;" in",ROUND(E45,1)&amp;" mm")</f>
        <v>8 in</v>
      </c>
      <c r="Q39" s="25"/>
    </row>
    <row r="40" spans="2:17" x14ac:dyDescent="0.2">
      <c r="B40" t="s">
        <v>93</v>
      </c>
      <c r="C40" s="43">
        <f>H26</f>
        <v>12.707498306644206</v>
      </c>
      <c r="D40" t="s">
        <v>94</v>
      </c>
      <c r="E40" s="71">
        <f>C40/G35</f>
        <v>9.7155841634957039</v>
      </c>
      <c r="F40" s="25" t="s">
        <v>154</v>
      </c>
      <c r="M40" s="25"/>
      <c r="N40" t="s">
        <v>98</v>
      </c>
      <c r="P40" s="42" t="str">
        <f>IF($C$16=$G$4,ROUND(C46,1)&amp;" in",ROUND(E46,1)&amp;" mm")</f>
        <v>25.2 in</v>
      </c>
    </row>
    <row r="41" spans="2:17" x14ac:dyDescent="0.2">
      <c r="B41" t="s">
        <v>78</v>
      </c>
      <c r="C41" s="14">
        <f>Q27</f>
        <v>12.8908875</v>
      </c>
      <c r="D41" t="s">
        <v>71</v>
      </c>
      <c r="E41" s="72">
        <f t="shared" ref="E41" si="4">C41/$G$31</f>
        <v>3.9291423842674438</v>
      </c>
      <c r="F41" s="25" t="s">
        <v>148</v>
      </c>
      <c r="N41" t="s">
        <v>99</v>
      </c>
      <c r="P41" s="42" t="str">
        <f>IF($C$16=$G$4,ROUND(C47,1)&amp;" in",ROUND(E47,1)&amp;" mm")</f>
        <v>10.6 in</v>
      </c>
    </row>
    <row r="42" spans="2:17" x14ac:dyDescent="0.2">
      <c r="B42" t="s">
        <v>73</v>
      </c>
      <c r="C42" s="14">
        <f>N25</f>
        <v>26.338916666666666</v>
      </c>
      <c r="D42" t="s">
        <v>71</v>
      </c>
      <c r="E42" s="72">
        <f>C42/$G$31</f>
        <v>8.0281015431007496</v>
      </c>
      <c r="F42" s="25" t="s">
        <v>148</v>
      </c>
      <c r="P42" s="42"/>
    </row>
    <row r="43" spans="2:17" x14ac:dyDescent="0.2">
      <c r="B43" t="s">
        <v>95</v>
      </c>
      <c r="C43" s="15">
        <f>C25</f>
        <v>0</v>
      </c>
      <c r="D43" t="s">
        <v>62</v>
      </c>
      <c r="E43" s="25">
        <f>C43*$I$32</f>
        <v>0</v>
      </c>
      <c r="F43" s="25" t="s">
        <v>145</v>
      </c>
      <c r="P43" s="42"/>
    </row>
    <row r="44" spans="2:17" x14ac:dyDescent="0.2">
      <c r="B44" t="s">
        <v>96</v>
      </c>
      <c r="C44" s="15">
        <f>VLOOKUP(C22,Tables!C6:Q14,7,FALSE)+C26</f>
        <v>4</v>
      </c>
      <c r="D44" t="s">
        <v>62</v>
      </c>
      <c r="E44" s="25">
        <f t="shared" ref="E44:E46" si="5">C44*$I$32</f>
        <v>101.6</v>
      </c>
      <c r="F44" s="25" t="s">
        <v>145</v>
      </c>
      <c r="P44" s="42"/>
    </row>
    <row r="45" spans="2:17" x14ac:dyDescent="0.2">
      <c r="B45" t="s">
        <v>97</v>
      </c>
      <c r="C45" s="15">
        <f>(VLOOKUP(C22,Tables!C6:Q14,6,FALSE)*12)+C30</f>
        <v>8</v>
      </c>
      <c r="D45" t="s">
        <v>62</v>
      </c>
      <c r="E45" s="25">
        <f t="shared" si="5"/>
        <v>203.2</v>
      </c>
      <c r="F45" s="25" t="s">
        <v>145</v>
      </c>
      <c r="P45" s="42"/>
    </row>
    <row r="46" spans="2:17" x14ac:dyDescent="0.2">
      <c r="B46" t="s">
        <v>98</v>
      </c>
      <c r="C46" s="15">
        <f>VLOOKUP(C22,Tables!C6:Q14,4,FALSE)</f>
        <v>25.190799999999999</v>
      </c>
      <c r="D46" t="s">
        <v>62</v>
      </c>
      <c r="E46" s="25">
        <f t="shared" si="5"/>
        <v>639.84631999999999</v>
      </c>
      <c r="F46" s="25" t="s">
        <v>145</v>
      </c>
      <c r="P46" s="42"/>
      <c r="Q46" s="25"/>
    </row>
    <row r="47" spans="2:17" x14ac:dyDescent="0.2">
      <c r="B47" t="s">
        <v>99</v>
      </c>
      <c r="C47" s="29">
        <f>Q17</f>
        <v>10.6486</v>
      </c>
      <c r="D47" t="s">
        <v>62</v>
      </c>
      <c r="E47" s="72">
        <f>C47*$I$32</f>
        <v>270.47443999999996</v>
      </c>
      <c r="F47" s="25" t="s">
        <v>145</v>
      </c>
      <c r="P47" s="42"/>
    </row>
    <row r="48" spans="2:17" x14ac:dyDescent="0.2">
      <c r="B48" s="25" t="s">
        <v>100</v>
      </c>
      <c r="C48" s="19" t="str">
        <f>IF(C22&gt;=36,"24 in",IF(AND(C22=30,C17="Solid"),"24 in",IF(C22&gt;=24,"12 in","Cleanout")))</f>
        <v>Cleanout</v>
      </c>
      <c r="D48" t="s">
        <v>62</v>
      </c>
      <c r="E48" s="46" t="str">
        <f>IF(C22&gt;=36,"600 mm",IF(AND(C22=30,C17="Solid"),"600 mm",IF(C22&gt;=24,"300 mm","Cleanout")))</f>
        <v>Cleanout</v>
      </c>
      <c r="F48" s="25"/>
      <c r="P48" s="42"/>
    </row>
    <row r="49" spans="2:17" x14ac:dyDescent="0.2">
      <c r="B49" s="28" t="s">
        <v>102</v>
      </c>
      <c r="C49">
        <f>IF(C22&gt;=48,1.5,IF(C22=42,1.25,1))</f>
        <v>1</v>
      </c>
      <c r="P49" s="42"/>
      <c r="Q49" s="25"/>
    </row>
    <row r="50" spans="2:17" x14ac:dyDescent="0.2">
      <c r="P50" s="42"/>
    </row>
    <row r="51" spans="2:17" x14ac:dyDescent="0.2">
      <c r="B51" s="28" t="s">
        <v>103</v>
      </c>
      <c r="C51" s="13">
        <f>C28-((VLOOKUP(C22,Tables!C6:Q14,3,FALSE)-((VLOOKUP(C22,Tables!C6:Q14,3,FALSE)-VLOOKUP(C22,Tables!C6:Q14,2,FALSE))/2))/12)</f>
        <v>18.890887500000002</v>
      </c>
      <c r="D51" s="25" t="s">
        <v>117</v>
      </c>
      <c r="E51" s="72">
        <f>C51/$G$31</f>
        <v>5.7579423257458462</v>
      </c>
      <c r="F51" s="25" t="s">
        <v>148</v>
      </c>
      <c r="P51" s="42"/>
    </row>
    <row r="52" spans="2:17" x14ac:dyDescent="0.2">
      <c r="B52" s="28" t="s">
        <v>104</v>
      </c>
      <c r="C52" s="13">
        <f>MAX(C29-((VLOOKUP(C22,Tables!C6:Q14,3,FALSE)-((VLOOKUP(C22,Tables!C6:Q14,3,FALSE)-VLOOKUP(C22,Tables!C6:Q14,2,FALSE))/2))/12),0)</f>
        <v>6.8908874999999998</v>
      </c>
      <c r="D52" s="25" t="s">
        <v>117</v>
      </c>
      <c r="E52" s="72">
        <f>C52/$G$31</f>
        <v>2.1003424427890418</v>
      </c>
      <c r="F52" s="25" t="s">
        <v>148</v>
      </c>
      <c r="P52" s="42"/>
    </row>
    <row r="54" spans="2:17" x14ac:dyDescent="0.2">
      <c r="B54" s="28" t="s">
        <v>105</v>
      </c>
    </row>
    <row r="55" spans="2:17" x14ac:dyDescent="0.2">
      <c r="B55" s="25" t="s">
        <v>106</v>
      </c>
      <c r="C55" s="13">
        <f>IF(C16=G4,Calculator!$AL$13,Calculator!$AL$13*G31)</f>
        <v>29.65</v>
      </c>
      <c r="D55" s="25" t="s">
        <v>117</v>
      </c>
      <c r="E55" s="72">
        <f>C55/$G$31</f>
        <v>9.0373197108057681</v>
      </c>
      <c r="F55" s="25" t="s">
        <v>148</v>
      </c>
    </row>
    <row r="56" spans="2:17" x14ac:dyDescent="0.2">
      <c r="B56" s="25" t="s">
        <v>107</v>
      </c>
      <c r="C56">
        <f>IF(C16=G4,Calculator!$AS$13,Calculator!$AS$13*G31)</f>
        <v>0</v>
      </c>
      <c r="D56" s="25" t="s">
        <v>117</v>
      </c>
      <c r="E56" s="72">
        <f t="shared" ref="E56:E57" si="6">C56/$G$31</f>
        <v>0</v>
      </c>
      <c r="F56" s="25" t="s">
        <v>148</v>
      </c>
    </row>
    <row r="57" spans="2:17" x14ac:dyDescent="0.2">
      <c r="B57" s="25" t="s">
        <v>108</v>
      </c>
      <c r="C57" s="13">
        <f>C56+(H19*C20)</f>
        <v>3.3110833333333329</v>
      </c>
      <c r="D57" s="25" t="s">
        <v>117</v>
      </c>
      <c r="E57" s="72">
        <f t="shared" si="6"/>
        <v>1.0092181677050185</v>
      </c>
      <c r="F57" s="25" t="s">
        <v>148</v>
      </c>
    </row>
    <row r="59" spans="2:17" x14ac:dyDescent="0.2">
      <c r="B59" s="28" t="s">
        <v>109</v>
      </c>
    </row>
    <row r="60" spans="2:17" x14ac:dyDescent="0.2">
      <c r="B60" s="25" t="s">
        <v>39</v>
      </c>
      <c r="C60" s="13">
        <f>(2*Q23*Q25)+(2*Q23*Q24)+(2*Q24*Q25)</f>
        <v>807.61150927611106</v>
      </c>
      <c r="D60" s="25" t="s">
        <v>110</v>
      </c>
    </row>
    <row r="61" spans="2:17" x14ac:dyDescent="0.2">
      <c r="B61" s="25"/>
      <c r="C61" s="13"/>
    </row>
    <row r="62" spans="2:17" x14ac:dyDescent="0.2">
      <c r="C62" s="13"/>
    </row>
    <row r="63" spans="2:17" x14ac:dyDescent="0.2">
      <c r="B63" s="28" t="s">
        <v>111</v>
      </c>
      <c r="C63" s="13">
        <f>1.2*C60</f>
        <v>969.13381113133323</v>
      </c>
      <c r="D63" t="s">
        <v>110</v>
      </c>
      <c r="E63" s="13">
        <f>C63/G34</f>
        <v>90.03556435226389</v>
      </c>
      <c r="F63" t="s">
        <v>155</v>
      </c>
    </row>
    <row r="64" spans="2:17" x14ac:dyDescent="0.2">
      <c r="C64" s="13">
        <f>C63/G36</f>
        <v>107.68153457014813</v>
      </c>
      <c r="D64" t="s">
        <v>158</v>
      </c>
    </row>
    <row r="66" spans="2:5" ht="14.4" x14ac:dyDescent="0.3">
      <c r="B66" s="54" t="s">
        <v>101</v>
      </c>
    </row>
    <row r="67" spans="2:5" x14ac:dyDescent="0.2">
      <c r="B67" t="str">
        <f>IF(AND(C21=C22,C20=2),"FDMSS",IF(AND(C21&lt;&gt;C22,C20=2),"FDMDS",IF(AND(C21=C22,C20=1),"FSMSS",IF(AND(C21&lt;&gt;C22,C20=1),"FSMDS","FNM"))))</f>
        <v>FDMSS</v>
      </c>
    </row>
    <row r="68" spans="2:5" x14ac:dyDescent="0.2">
      <c r="B68" t="str">
        <f>IF('System Calculations'!C17="Perforated","RET","DET")</f>
        <v>RET</v>
      </c>
    </row>
    <row r="72" spans="2:5" x14ac:dyDescent="0.2">
      <c r="B72" t="s">
        <v>160</v>
      </c>
      <c r="C72" t="s">
        <v>161</v>
      </c>
      <c r="E72" t="s">
        <v>162</v>
      </c>
    </row>
  </sheetData>
  <customSheetViews>
    <customSheetView guid="{907EC655-306C-4FA9-B4FE-B8C798D6276E}" fitToPage="1" topLeftCell="A17">
      <selection activeCell="C30" sqref="C30"/>
      <pageMargins left="0" right="0" top="0" bottom="0" header="0" footer="0"/>
      <printOptions horizontalCentered="1" verticalCentered="1"/>
      <pageSetup scale="65" orientation="landscape" horizontalDpi="300" verticalDpi="300"/>
    </customSheetView>
  </customSheetViews>
  <phoneticPr fontId="5" type="noConversion"/>
  <printOptions horizontalCentered="1" verticalCentered="1"/>
  <pageMargins left="0" right="0" top="0" bottom="0" header="0.3" footer="0.3"/>
  <pageSetup scale="65" orientation="landscape" horizontalDpi="300" verticalDpi="300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>
    <pageSetUpPr fitToPage="1"/>
  </sheetPr>
  <dimension ref="A4:V34"/>
  <sheetViews>
    <sheetView showGridLines="0" workbookViewId="0">
      <selection activeCell="R22" sqref="R22"/>
    </sheetView>
  </sheetViews>
  <sheetFormatPr defaultColWidth="9" defaultRowHeight="10.199999999999999" x14ac:dyDescent="0.2"/>
  <cols>
    <col min="6" max="6" width="10.28515625" customWidth="1"/>
    <col min="11" max="11" width="10.140625" customWidth="1"/>
    <col min="12" max="12" width="10.28515625" bestFit="1" customWidth="1"/>
    <col min="16" max="16" width="10.85546875" customWidth="1"/>
    <col min="19" max="19" width="17" customWidth="1"/>
    <col min="20" max="20" width="18.7109375" customWidth="1"/>
    <col min="21" max="21" width="38.7109375" customWidth="1"/>
    <col min="22" max="22" width="18.7109375" customWidth="1"/>
  </cols>
  <sheetData>
    <row r="4" spans="1:21" ht="13.2" x14ac:dyDescent="0.25">
      <c r="C4" s="59" t="s">
        <v>119</v>
      </c>
      <c r="T4" s="2"/>
      <c r="U4" s="2"/>
    </row>
    <row r="5" spans="1:21" ht="51" x14ac:dyDescent="0.2">
      <c r="C5" s="58" t="s">
        <v>19</v>
      </c>
      <c r="D5" s="58" t="s">
        <v>20</v>
      </c>
      <c r="E5" s="58" t="s">
        <v>21</v>
      </c>
      <c r="F5" s="58" t="s">
        <v>22</v>
      </c>
      <c r="G5" s="58" t="s">
        <v>23</v>
      </c>
      <c r="H5" s="58" t="s">
        <v>24</v>
      </c>
      <c r="I5" s="58" t="s">
        <v>25</v>
      </c>
      <c r="J5" s="58" t="s">
        <v>26</v>
      </c>
      <c r="K5" s="58" t="s">
        <v>27</v>
      </c>
      <c r="L5" s="58" t="s">
        <v>31</v>
      </c>
      <c r="M5" s="58" t="s">
        <v>28</v>
      </c>
      <c r="N5" s="58" t="s">
        <v>32</v>
      </c>
      <c r="O5" s="58" t="s">
        <v>165</v>
      </c>
      <c r="P5" s="58" t="s">
        <v>29</v>
      </c>
      <c r="Q5" s="58" t="s">
        <v>30</v>
      </c>
    </row>
    <row r="6" spans="1:21" x14ac:dyDescent="0.2">
      <c r="B6">
        <v>1</v>
      </c>
      <c r="C6" s="55">
        <v>12</v>
      </c>
      <c r="D6" s="56">
        <v>12.076499999999999</v>
      </c>
      <c r="E6" s="56">
        <v>14.542199999999999</v>
      </c>
      <c r="F6" s="56">
        <v>25.190799999999999</v>
      </c>
      <c r="G6" s="56">
        <f t="shared" ref="G6:G13" si="0">(F6-E6)/12</f>
        <v>0.8873833333333333</v>
      </c>
      <c r="H6" s="56">
        <v>0.66666666666666663</v>
      </c>
      <c r="I6" s="56">
        <v>4</v>
      </c>
      <c r="J6" s="56">
        <v>0.79330000000000001</v>
      </c>
      <c r="K6" s="56">
        <f>F6+5.56555</f>
        <v>30.756349999999998</v>
      </c>
      <c r="L6" s="57">
        <f t="shared" ref="L6:L11" si="1">PI()*(D6/2)^2*K6/1728</f>
        <v>2.0387459393501861</v>
      </c>
      <c r="M6" s="57">
        <f t="shared" ref="M6:M7" si="2">Q6*K6/12</f>
        <v>2.9798033394583325</v>
      </c>
      <c r="N6" s="56">
        <v>12.5954</v>
      </c>
      <c r="O6" s="56">
        <v>1.567470492822143</v>
      </c>
      <c r="P6" s="56">
        <v>5.6</v>
      </c>
      <c r="Q6" s="56">
        <v>1.1626099999999999</v>
      </c>
    </row>
    <row r="7" spans="1:21" x14ac:dyDescent="0.2">
      <c r="B7">
        <v>2</v>
      </c>
      <c r="C7" s="55">
        <v>15</v>
      </c>
      <c r="D7" s="56">
        <v>15.15</v>
      </c>
      <c r="E7" s="56">
        <v>17.894600000000001</v>
      </c>
      <c r="F7" s="56">
        <v>27.7136</v>
      </c>
      <c r="G7" s="56">
        <f t="shared" si="0"/>
        <v>0.81824999999999992</v>
      </c>
      <c r="H7" s="56">
        <v>0.66666666666666663</v>
      </c>
      <c r="I7" s="56">
        <v>4</v>
      </c>
      <c r="J7" s="56">
        <v>1.2519</v>
      </c>
      <c r="K7" s="56">
        <f>F7+5.5272</f>
        <v>33.2408</v>
      </c>
      <c r="L7" s="57">
        <f t="shared" si="1"/>
        <v>3.4677108413523601</v>
      </c>
      <c r="M7" s="57">
        <f t="shared" si="2"/>
        <v>4.7728248666666664</v>
      </c>
      <c r="N7" s="56">
        <v>13.856299999999999</v>
      </c>
      <c r="O7" s="56">
        <v>2.9570358661638432</v>
      </c>
      <c r="P7" s="56">
        <v>7.3</v>
      </c>
      <c r="Q7" s="56">
        <v>1.7230000000000001</v>
      </c>
    </row>
    <row r="8" spans="1:21" x14ac:dyDescent="0.2">
      <c r="B8">
        <v>3</v>
      </c>
      <c r="C8" s="55">
        <v>18</v>
      </c>
      <c r="D8" s="56">
        <v>18.07</v>
      </c>
      <c r="E8" s="56">
        <v>21.465699999999998</v>
      </c>
      <c r="F8" s="56">
        <v>32.748199999999997</v>
      </c>
      <c r="G8" s="56">
        <f t="shared" si="0"/>
        <v>0.9402083333333332</v>
      </c>
      <c r="H8" s="56">
        <v>0.75</v>
      </c>
      <c r="I8" s="56">
        <v>4</v>
      </c>
      <c r="J8" s="56">
        <v>1.7808999999999999</v>
      </c>
      <c r="K8" s="56">
        <f>F8+5.9396</f>
        <v>38.687799999999996</v>
      </c>
      <c r="L8" s="57">
        <f>ROUND(PI()*(D8/2)^2*K8/1728,1)</f>
        <v>5.7</v>
      </c>
      <c r="M8" s="57">
        <f t="shared" ref="M8:M14" si="3">Q8*K8/12</f>
        <v>8.0151449649999993</v>
      </c>
      <c r="N8" s="56">
        <v>16.374099999999999</v>
      </c>
      <c r="O8" s="56">
        <f>N8*2/12*J8</f>
        <v>4.8601057816666664</v>
      </c>
      <c r="P8" s="56">
        <v>8.4</v>
      </c>
      <c r="Q8" s="56">
        <v>2.4861</v>
      </c>
    </row>
    <row r="9" spans="1:21" x14ac:dyDescent="0.2">
      <c r="B9">
        <v>4</v>
      </c>
      <c r="C9" s="55">
        <v>24</v>
      </c>
      <c r="D9" s="56">
        <v>24.36</v>
      </c>
      <c r="E9" s="56">
        <v>28.104199999999999</v>
      </c>
      <c r="F9" s="56">
        <v>47.136000000000003</v>
      </c>
      <c r="G9" s="56">
        <f t="shared" si="0"/>
        <v>1.5859833333333337</v>
      </c>
      <c r="H9" s="56">
        <v>0.83333333333333337</v>
      </c>
      <c r="I9" s="56">
        <v>4</v>
      </c>
      <c r="J9" s="56">
        <v>3.2365499999999998</v>
      </c>
      <c r="K9" s="56">
        <f>F9+9.5362</f>
        <v>56.672200000000004</v>
      </c>
      <c r="L9" s="57">
        <f t="shared" si="1"/>
        <v>15.285187951322561</v>
      </c>
      <c r="M9" s="57">
        <f t="shared" si="3"/>
        <v>20.404353341666667</v>
      </c>
      <c r="N9" s="56">
        <v>23.568000000000001</v>
      </c>
      <c r="O9" s="56">
        <f>N9*2/12*J9</f>
        <v>12.713168400000001</v>
      </c>
      <c r="P9" s="56">
        <v>11.1</v>
      </c>
      <c r="Q9" s="56">
        <v>4.3205</v>
      </c>
    </row>
    <row r="10" spans="1:21" x14ac:dyDescent="0.2">
      <c r="B10">
        <v>5</v>
      </c>
      <c r="C10" s="55">
        <v>30</v>
      </c>
      <c r="D10" s="56">
        <v>29.872</v>
      </c>
      <c r="E10" s="56">
        <v>34.618299999999998</v>
      </c>
      <c r="F10" s="56">
        <v>54.991999999999997</v>
      </c>
      <c r="G10" s="56">
        <f t="shared" si="0"/>
        <v>1.6978083333333334</v>
      </c>
      <c r="H10" s="56">
        <v>1.5</v>
      </c>
      <c r="I10" s="56">
        <v>4</v>
      </c>
      <c r="J10" s="56">
        <v>4.8659999999999997</v>
      </c>
      <c r="K10" s="56">
        <f>F10+12.2931</f>
        <v>67.2851</v>
      </c>
      <c r="L10" s="57">
        <f t="shared" si="1"/>
        <v>27.289378604270926</v>
      </c>
      <c r="M10" s="57">
        <f t="shared" si="3"/>
        <v>36.770185731666665</v>
      </c>
      <c r="N10" s="56">
        <v>27.495999999999999</v>
      </c>
      <c r="O10" s="56">
        <f>N10*2/12*J10</f>
        <v>22.299255999999996</v>
      </c>
      <c r="P10" s="56">
        <v>11.3</v>
      </c>
      <c r="Q10" s="56">
        <v>6.5578000000000003</v>
      </c>
    </row>
    <row r="11" spans="1:21" x14ac:dyDescent="0.2">
      <c r="B11">
        <v>6</v>
      </c>
      <c r="C11" s="55">
        <v>36</v>
      </c>
      <c r="D11" s="56">
        <v>35.46</v>
      </c>
      <c r="E11" s="56">
        <v>40.677900000000001</v>
      </c>
      <c r="F11" s="56">
        <v>61.463999999999999</v>
      </c>
      <c r="G11" s="56">
        <f t="shared" si="0"/>
        <v>1.7321749999999998</v>
      </c>
      <c r="H11" s="56">
        <v>1.5</v>
      </c>
      <c r="I11" s="56">
        <v>4</v>
      </c>
      <c r="J11" s="56">
        <v>6.8581000000000003</v>
      </c>
      <c r="K11" s="56">
        <f>F11+10.7424</f>
        <v>72.206400000000002</v>
      </c>
      <c r="L11" s="57">
        <f t="shared" si="1"/>
        <v>41.266657988484759</v>
      </c>
      <c r="M11" s="56">
        <f t="shared" si="3"/>
        <v>53.831074639999997</v>
      </c>
      <c r="N11" s="56">
        <v>30.731999999999999</v>
      </c>
      <c r="O11" s="56">
        <f t="shared" ref="O11:O14" si="4">N11*2/12*J11</f>
        <v>35.127188199999999</v>
      </c>
      <c r="P11" s="56">
        <v>13.5</v>
      </c>
      <c r="Q11" s="56">
        <v>8.9461999999999993</v>
      </c>
    </row>
    <row r="12" spans="1:21" x14ac:dyDescent="0.2">
      <c r="B12">
        <v>7</v>
      </c>
      <c r="C12" s="55">
        <v>42</v>
      </c>
      <c r="D12" s="56">
        <v>41.474499999999999</v>
      </c>
      <c r="E12" s="56">
        <v>47.536700000000003</v>
      </c>
      <c r="F12" s="56">
        <v>70.887699999999995</v>
      </c>
      <c r="G12" s="56">
        <f t="shared" si="0"/>
        <v>1.9459166666666661</v>
      </c>
      <c r="H12" s="56">
        <v>1.5</v>
      </c>
      <c r="I12" s="56">
        <v>6</v>
      </c>
      <c r="J12" s="56">
        <v>9.3820999999999994</v>
      </c>
      <c r="K12" s="56">
        <f>F12+12.9149</f>
        <v>83.802599999999998</v>
      </c>
      <c r="L12" s="57">
        <f>PI()*(D12/2)^2*K12/1728</f>
        <v>65.518802972191125</v>
      </c>
      <c r="M12" s="56">
        <f t="shared" si="3"/>
        <v>86.083916278499998</v>
      </c>
      <c r="N12" s="56">
        <v>35.443899999999999</v>
      </c>
      <c r="O12" s="56">
        <f t="shared" si="4"/>
        <v>55.423035698333329</v>
      </c>
      <c r="P12" s="56">
        <v>16.899999999999999</v>
      </c>
      <c r="Q12" s="56">
        <v>12.32667</v>
      </c>
    </row>
    <row r="13" spans="1:21" x14ac:dyDescent="0.2">
      <c r="B13">
        <v>8</v>
      </c>
      <c r="C13" s="55">
        <v>48</v>
      </c>
      <c r="D13" s="56">
        <v>47.356000000000002</v>
      </c>
      <c r="E13" s="56">
        <v>54.286099999999998</v>
      </c>
      <c r="F13" s="56">
        <v>76.830600000000004</v>
      </c>
      <c r="G13" s="56">
        <f t="shared" si="0"/>
        <v>1.8787083333333339</v>
      </c>
      <c r="H13" s="56">
        <v>1.5</v>
      </c>
      <c r="I13" s="56">
        <v>6</v>
      </c>
      <c r="J13" s="56">
        <v>12.231450000000001</v>
      </c>
      <c r="K13" s="57">
        <f>F13+12.8678</f>
        <v>89.698400000000007</v>
      </c>
      <c r="L13" s="57">
        <f>PI()*(D13/2)^2*K13/1728</f>
        <v>91.428346042455701</v>
      </c>
      <c r="M13" s="56">
        <f t="shared" si="3"/>
        <v>119.41174248666668</v>
      </c>
      <c r="N13" s="56">
        <v>38.415100000000002</v>
      </c>
      <c r="O13" s="56">
        <f t="shared" si="4"/>
        <v>78.312062482500011</v>
      </c>
      <c r="P13" s="56">
        <v>16.899999999999999</v>
      </c>
      <c r="Q13" s="56">
        <v>15.975099999999999</v>
      </c>
    </row>
    <row r="14" spans="1:21" x14ac:dyDescent="0.2">
      <c r="B14">
        <v>9</v>
      </c>
      <c r="C14" s="55">
        <v>60</v>
      </c>
      <c r="D14" s="56">
        <v>59.93</v>
      </c>
      <c r="E14" s="57">
        <v>67.180000000000007</v>
      </c>
      <c r="F14" s="56">
        <v>94.272000000000006</v>
      </c>
      <c r="G14" s="56">
        <f>(F14-E14)/12</f>
        <v>2.2576666666666667</v>
      </c>
      <c r="H14" s="56">
        <v>1.5</v>
      </c>
      <c r="I14" s="56">
        <v>6</v>
      </c>
      <c r="J14" s="56">
        <v>19.572199999999999</v>
      </c>
      <c r="K14" s="56">
        <f>F14+13.8776</f>
        <v>108.14960000000001</v>
      </c>
      <c r="L14" s="57">
        <f>K14/12*J14</f>
        <v>176.39380009333331</v>
      </c>
      <c r="M14" s="56">
        <f t="shared" si="3"/>
        <v>218.96238389999999</v>
      </c>
      <c r="N14" s="56">
        <v>47.135899999999999</v>
      </c>
      <c r="O14" s="56">
        <f t="shared" si="4"/>
        <v>153.75887699666666</v>
      </c>
      <c r="P14" s="56"/>
      <c r="Q14" s="56">
        <v>24.295500000000001</v>
      </c>
    </row>
    <row r="15" spans="1:21" x14ac:dyDescent="0.2">
      <c r="C15">
        <v>1</v>
      </c>
      <c r="D15">
        <v>2</v>
      </c>
      <c r="E15">
        <v>3</v>
      </c>
      <c r="F15">
        <v>4</v>
      </c>
      <c r="G15">
        <v>5</v>
      </c>
      <c r="H15">
        <v>6</v>
      </c>
      <c r="I15">
        <v>7</v>
      </c>
      <c r="J15">
        <v>8</v>
      </c>
      <c r="K15">
        <v>9</v>
      </c>
      <c r="L15">
        <v>10</v>
      </c>
      <c r="M15">
        <v>11</v>
      </c>
      <c r="N15">
        <v>12</v>
      </c>
      <c r="O15">
        <v>13</v>
      </c>
      <c r="P15">
        <v>14</v>
      </c>
      <c r="Q15">
        <v>15</v>
      </c>
      <c r="T15" s="44"/>
    </row>
    <row r="16" spans="1:21" ht="40.799999999999997" x14ac:dyDescent="0.2">
      <c r="A16" s="33" t="s">
        <v>164</v>
      </c>
      <c r="D16" s="53" t="s">
        <v>131</v>
      </c>
      <c r="E16" s="84" t="s">
        <v>167</v>
      </c>
      <c r="F16" s="53" t="s">
        <v>172</v>
      </c>
      <c r="J16" s="53" t="s">
        <v>131</v>
      </c>
      <c r="K16" s="84" t="s">
        <v>167</v>
      </c>
      <c r="L16" s="84" t="s">
        <v>167</v>
      </c>
      <c r="M16" s="85" t="s">
        <v>170</v>
      </c>
      <c r="N16" s="84" t="s">
        <v>167</v>
      </c>
      <c r="O16" s="84" t="s">
        <v>171</v>
      </c>
      <c r="Q16" s="53" t="s">
        <v>168</v>
      </c>
      <c r="S16" s="45"/>
    </row>
    <row r="20" spans="4:22" x14ac:dyDescent="0.2">
      <c r="D20" s="63" t="s">
        <v>130</v>
      </c>
    </row>
    <row r="22" spans="4:22" x14ac:dyDescent="0.2">
      <c r="S22" s="25"/>
      <c r="T22" s="25"/>
      <c r="U22" s="25"/>
      <c r="V22" s="25"/>
    </row>
    <row r="31" spans="4:22" x14ac:dyDescent="0.2">
      <c r="T31" s="43"/>
      <c r="U31" s="43"/>
    </row>
    <row r="32" spans="4:22" x14ac:dyDescent="0.2">
      <c r="T32" s="43"/>
      <c r="U32" s="43"/>
    </row>
    <row r="33" spans="20:21" x14ac:dyDescent="0.2">
      <c r="T33" s="43"/>
      <c r="U33" s="43"/>
    </row>
    <row r="34" spans="20:21" x14ac:dyDescent="0.2">
      <c r="T34" s="43"/>
      <c r="U34" s="43"/>
    </row>
  </sheetData>
  <customSheetViews>
    <customSheetView guid="{907EC655-306C-4FA9-B4FE-B8C798D6276E}" fitToPage="1" topLeftCell="A21">
      <selection activeCell="U15" sqref="U15"/>
      <pageMargins left="0" right="0" top="0" bottom="0" header="0" footer="0"/>
      <printOptions horizontalCentered="1" verticalCentered="1"/>
      <pageSetup scale="61" orientation="landscape" horizontalDpi="300" verticalDpi="300"/>
    </customSheetView>
  </customSheetViews>
  <phoneticPr fontId="5" type="noConversion"/>
  <printOptions horizontalCentered="1" verticalCentered="1"/>
  <pageMargins left="0" right="0" top="0.5" bottom="0" header="0" footer="0"/>
  <pageSetup scale="61" orientation="landscape" horizontalDpi="300" verticalDpi="300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:H27"/>
  <sheetViews>
    <sheetView showGridLines="0" zoomScaleNormal="100" workbookViewId="0">
      <selection activeCell="C34" sqref="C34"/>
    </sheetView>
  </sheetViews>
  <sheetFormatPr defaultColWidth="9" defaultRowHeight="211.5" customHeight="1" x14ac:dyDescent="0.2"/>
  <cols>
    <col min="2" max="2" width="86.28515625" customWidth="1"/>
    <col min="4" max="4" width="83.7109375" customWidth="1"/>
    <col min="6" max="6" width="9.42578125" customWidth="1"/>
  </cols>
  <sheetData>
    <row r="1" spans="1:8" ht="262.5" customHeight="1" x14ac:dyDescent="0.2">
      <c r="A1" s="41"/>
      <c r="B1" s="41"/>
      <c r="C1" s="41"/>
      <c r="D1" s="41"/>
    </row>
    <row r="2" spans="1:8" ht="263.25" customHeight="1" x14ac:dyDescent="0.2">
      <c r="A2" s="41"/>
      <c r="B2" s="41"/>
      <c r="C2" s="41"/>
      <c r="D2" s="41"/>
    </row>
    <row r="3" spans="1:8" ht="263.25" customHeight="1" x14ac:dyDescent="0.2">
      <c r="A3" s="41"/>
      <c r="B3" s="41"/>
      <c r="C3" s="41"/>
      <c r="D3" s="41"/>
    </row>
    <row r="4" spans="1:8" ht="263.25" customHeight="1" x14ac:dyDescent="0.2">
      <c r="A4" s="41"/>
      <c r="B4" s="41"/>
      <c r="C4" s="41"/>
      <c r="D4" s="41"/>
    </row>
    <row r="5" spans="1:8" ht="262.5" customHeight="1" x14ac:dyDescent="0.2">
      <c r="A5" s="41"/>
      <c r="B5" s="41"/>
      <c r="C5" s="41"/>
      <c r="D5" s="41"/>
    </row>
    <row r="6" spans="1:8" ht="227.25" customHeight="1" x14ac:dyDescent="0.2">
      <c r="A6" s="41"/>
      <c r="B6" s="41"/>
      <c r="C6" s="41"/>
      <c r="D6" s="41"/>
      <c r="F6" s="35"/>
      <c r="G6" s="36"/>
      <c r="H6" s="37"/>
    </row>
    <row r="7" spans="1:8" ht="227.25" customHeight="1" x14ac:dyDescent="0.2">
      <c r="A7" s="41"/>
      <c r="B7" s="39"/>
      <c r="C7" s="39"/>
      <c r="D7" s="39"/>
      <c r="F7" s="38"/>
      <c r="G7" s="39"/>
      <c r="H7" s="40"/>
    </row>
    <row r="8" spans="1:8" ht="227.25" customHeight="1" x14ac:dyDescent="0.2">
      <c r="A8" s="80"/>
      <c r="B8" s="81"/>
    </row>
    <row r="9" spans="1:8" ht="227.25" customHeight="1" x14ac:dyDescent="0.2">
      <c r="A9" s="80"/>
      <c r="B9" s="81"/>
    </row>
    <row r="10" spans="1:8" ht="16.5" customHeight="1" x14ac:dyDescent="0.2">
      <c r="A10" s="41"/>
      <c r="B10" s="36"/>
      <c r="C10" s="36"/>
      <c r="D10" s="36"/>
    </row>
    <row r="11" spans="1:8" ht="16.5" customHeight="1" x14ac:dyDescent="0.2">
      <c r="A11" s="41"/>
      <c r="B11" s="41"/>
      <c r="C11" s="41"/>
      <c r="D11" s="41"/>
    </row>
    <row r="12" spans="1:8" ht="16.5" customHeight="1" x14ac:dyDescent="0.2"/>
    <row r="13" spans="1:8" ht="16.5" customHeight="1" x14ac:dyDescent="0.2"/>
    <row r="14" spans="1:8" ht="16.5" customHeight="1" x14ac:dyDescent="0.2"/>
    <row r="15" spans="1:8" ht="16.5" customHeight="1" x14ac:dyDescent="0.2"/>
    <row r="16" spans="1:8" ht="16.5" customHeight="1" x14ac:dyDescent="0.2"/>
    <row r="17" ht="16.5" customHeight="1" x14ac:dyDescent="0.2"/>
    <row r="18" ht="16.5" customHeight="1" x14ac:dyDescent="0.2"/>
    <row r="19" ht="16.5" customHeight="1" x14ac:dyDescent="0.2"/>
    <row r="20" ht="16.5" customHeight="1" x14ac:dyDescent="0.2"/>
    <row r="21" ht="16.5" customHeight="1" x14ac:dyDescent="0.2"/>
    <row r="22" ht="16.5" customHeight="1" x14ac:dyDescent="0.2"/>
    <row r="23" ht="16.5" customHeight="1" x14ac:dyDescent="0.2"/>
    <row r="24" ht="16.5" customHeight="1" x14ac:dyDescent="0.2"/>
    <row r="25" ht="16.5" customHeight="1" x14ac:dyDescent="0.2"/>
    <row r="26" ht="16.5" customHeight="1" x14ac:dyDescent="0.2"/>
    <row r="27" ht="16.5" customHeight="1" x14ac:dyDescent="0.2"/>
  </sheetData>
  <customSheetViews>
    <customSheetView guid="{907EC655-306C-4FA9-B4FE-B8C798D6276E}">
      <selection activeCell="B5" sqref="B5"/>
      <pageMargins left="0" right="0" top="0" bottom="0" header="0" footer="0"/>
      <pageSetup orientation="portrait" horizontalDpi="300" verticalDpi="300" r:id="rId1"/>
    </customSheetView>
  </customSheetViews>
  <phoneticPr fontId="5" type="noConversion"/>
  <pageMargins left="0.7" right="0.7" top="0.75" bottom="0.75" header="0.3" footer="0.3"/>
  <pageSetup orientation="portrait" horizontalDpi="300" verticalDpi="300" r:id="rId2"/>
  <drawing r:id="rId3"/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0d0b412-8c09-4bb4-9b17-db96a5e35ea9" xsi:nil="true"/>
    <lcf76f155ced4ddcb4097134ff3c332f xmlns="e8ad5491-814e-4926-8e71-38d6bed58d1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6689EAF9A22684B9B27CF15C16ABAF3" ma:contentTypeVersion="15" ma:contentTypeDescription="Create a new document." ma:contentTypeScope="" ma:versionID="a399f7c0b558034b35c6045e5ac9c37d">
  <xsd:schema xmlns:xsd="http://www.w3.org/2001/XMLSchema" xmlns:xs="http://www.w3.org/2001/XMLSchema" xmlns:p="http://schemas.microsoft.com/office/2006/metadata/properties" xmlns:ns2="e8ad5491-814e-4926-8e71-38d6bed58d15" xmlns:ns3="20d0b412-8c09-4bb4-9b17-db96a5e35ea9" targetNamespace="http://schemas.microsoft.com/office/2006/metadata/properties" ma:root="true" ma:fieldsID="d4d40406e7334cf8cfd6b1bc75d76d87" ns2:_="" ns3:_="">
    <xsd:import namespace="e8ad5491-814e-4926-8e71-38d6bed58d15"/>
    <xsd:import namespace="20d0b412-8c09-4bb4-9b17-db96a5e35ea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8ad5491-814e-4926-8e71-38d6bed58d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de9cfab8-a05e-46cd-b41a-358afff67da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0d0b412-8c09-4bb4-9b17-db96a5e35ea9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431d13e6-8c98-4804-af45-c401775ee580}" ma:internalName="TaxCatchAll" ma:showField="CatchAllData" ma:web="20d0b412-8c09-4bb4-9b17-db96a5e35ea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2C7D675-14FB-4294-B65B-41EBE73B52A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DADEB18-122F-450F-86F1-54F3B96199CC}">
  <ds:schemaRefs>
    <ds:schemaRef ds:uri="http://schemas.microsoft.com/office/2006/documentManagement/types"/>
    <ds:schemaRef ds:uri="http://www.w3.org/XML/1998/namespace"/>
    <ds:schemaRef ds:uri="http://purl.org/dc/elements/1.1/"/>
    <ds:schemaRef ds:uri="6e337908-3fd1-4cfd-a023-abc3cf136605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20d0b412-8c09-4bb4-9b17-db96a5e35ea9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E3CFF41B-DDC4-4B2F-8704-DA73E0611BF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14</vt:i4>
      </vt:variant>
    </vt:vector>
  </HeadingPairs>
  <TitlesOfParts>
    <vt:vector size="18" baseType="lpstr">
      <vt:lpstr>Calculator</vt:lpstr>
      <vt:lpstr>System Calculations</vt:lpstr>
      <vt:lpstr>Tables</vt:lpstr>
      <vt:lpstr>Pics</vt:lpstr>
      <vt:lpstr>DET</vt:lpstr>
      <vt:lpstr>FDMDS</vt:lpstr>
      <vt:lpstr>FDMSS</vt:lpstr>
      <vt:lpstr>FNM</vt:lpstr>
      <vt:lpstr>FSMDS</vt:lpstr>
      <vt:lpstr>FSMSS</vt:lpstr>
      <vt:lpstr>HeaderConfiguration</vt:lpstr>
      <vt:lpstr>Perforated</vt:lpstr>
      <vt:lpstr>PipeSizes</vt:lpstr>
      <vt:lpstr>Calculator!Print_Area</vt:lpstr>
      <vt:lpstr>Profile</vt:lpstr>
      <vt:lpstr>RET</vt:lpstr>
      <vt:lpstr>State</vt:lpstr>
      <vt:lpstr>YesNo</vt:lpstr>
    </vt:vector>
  </TitlesOfParts>
  <Manager/>
  <Company>Duininck Companies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Josh Johnson</dc:creator>
  <cp:keywords/>
  <dc:description/>
  <cp:lastModifiedBy>Bryce Erickson</cp:lastModifiedBy>
  <cp:revision/>
  <dcterms:created xsi:type="dcterms:W3CDTF">2014-01-27T14:35:22Z</dcterms:created>
  <dcterms:modified xsi:type="dcterms:W3CDTF">2026-03-09T21:21:31Z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0x01010066689EAF9A22684B9B27CF15C16ABAF3</vt:lpwstr>
  </property>
  <property fmtid="{D5CDD505-2E9C-101B-9397-08002B2CF9AE}" pid="3" name="MediaServiceImageTags">
    <vt:lpwstr/>
  </property>
</Properties>
</file>