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uininckcompanies.sharepoint.com/sites/Prinsco/Eng/Pipe Documents/Calculators/Residential Drainage Calculator/"/>
    </mc:Choice>
  </mc:AlternateContent>
  <xr:revisionPtr revIDLastSave="54" documentId="8_{8B49713E-D9CE-4399-9A5C-3BF2FD7A9B72}" xr6:coauthVersionLast="47" xr6:coauthVersionMax="47" xr10:uidLastSave="{27B4AFD4-6FF1-44F3-8825-990A648F8BAC}"/>
  <workbookProtection workbookAlgorithmName="SHA-512" workbookHashValue="GGmwICFMvV06swNHsLeuxqWYN/FAILUkdh2n4QTWK8PgQQKW2MRDQOb1mKRUqDFANaQqF5i9XAHG3NMfNfgWPA==" workbookSaltValue="FU/I5fMt7wAfBb/NC6lbQg==" workbookSpinCount="100000" lockStructure="1"/>
  <bookViews>
    <workbookView xWindow="-120" yWindow="-120" windowWidth="29040" windowHeight="15840" activeTab="1" xr2:uid="{DF2706A4-5E1C-4A8B-BCFF-3DAEBC5A7F35}"/>
  </bookViews>
  <sheets>
    <sheet name="Downspout Main Calculator" sheetId="4" r:id="rId1"/>
    <sheet name="French Drain Calculator" sheetId="2" r:id="rId2"/>
    <sheet name="IPC Values" sheetId="3" state="hidden" r:id="rId3"/>
    <sheet name="Downspout Main Bones" sheetId="1" state="hidden" r:id="rId4"/>
  </sheets>
  <definedNames>
    <definedName name="_xlnm._FilterDatabase" localSheetId="0" hidden="1">'Downspout Main Calculator'!$I$13:$I$30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M28" i="4"/>
  <c r="M30" i="4" s="1"/>
  <c r="D31" i="4" s="1"/>
  <c r="M29" i="4" l="1"/>
  <c r="M31" i="4"/>
  <c r="E26" i="2"/>
  <c r="Q31" i="2"/>
  <c r="Q30" i="2"/>
  <c r="Q29" i="2" a="1"/>
  <c r="Q29" i="2" s="1"/>
  <c r="E29" i="2"/>
  <c r="E21" i="2"/>
  <c r="D12" i="2" a="1"/>
  <c r="D12" i="2" s="1"/>
  <c r="E31" i="2"/>
  <c r="D33" i="4" l="1"/>
  <c r="D14" i="4" l="1"/>
  <c r="M19" i="4" l="1"/>
  <c r="M23" i="4" s="1"/>
  <c r="Q4" i="3"/>
  <c r="Q5" i="3"/>
  <c r="Q6" i="3"/>
  <c r="Q7" i="3"/>
  <c r="Q8" i="3"/>
  <c r="Q9" i="3"/>
  <c r="Q10" i="3"/>
  <c r="Q11" i="3"/>
  <c r="Q3" i="3"/>
  <c r="K4" i="3"/>
  <c r="K5" i="3"/>
  <c r="K6" i="3"/>
  <c r="K7" i="3"/>
  <c r="K8" i="3"/>
  <c r="K3" i="3"/>
  <c r="M20" i="4" l="1"/>
  <c r="M21" i="4"/>
  <c r="M26" i="4" l="1"/>
  <c r="M22" i="4"/>
  <c r="D32" i="4" l="1"/>
  <c r="M25" i="4"/>
  <c r="D30" i="4" s="1"/>
  <c r="M24" i="4"/>
  <c r="F19" i="2"/>
  <c r="E19" i="2"/>
  <c r="T21" i="2"/>
  <c r="T22" i="2"/>
  <c r="U22" i="2" s="1"/>
  <c r="T23" i="2"/>
  <c r="U23" i="2" s="1"/>
  <c r="T24" i="2"/>
  <c r="T25" i="2"/>
  <c r="U25" i="2" s="1"/>
  <c r="U24" i="2" l="1"/>
  <c r="U21" i="2"/>
  <c r="X25" i="2"/>
  <c r="X24" i="2"/>
  <c r="X23" i="2"/>
  <c r="X22" i="2"/>
  <c r="X21" i="2"/>
  <c r="E33" i="2" l="1"/>
  <c r="E34" i="2" s="1"/>
  <c r="J37" i="1"/>
  <c r="J36" i="1"/>
  <c r="M27" i="1"/>
  <c r="M25" i="1"/>
  <c r="J27" i="1"/>
  <c r="J25" i="1"/>
  <c r="M29" i="1" l="1"/>
  <c r="M30" i="1" s="1"/>
  <c r="J29" i="1"/>
  <c r="J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<sst xmlns="http://schemas.openxmlformats.org/spreadsheetml/2006/main" count="391" uniqueCount="333">
  <si>
    <t>Gutter style</t>
  </si>
  <si>
    <t>K-shape</t>
  </si>
  <si>
    <t>Half Round</t>
  </si>
  <si>
    <t>INPUTS</t>
  </si>
  <si>
    <t>OUTPUTS</t>
  </si>
  <si>
    <t xml:space="preserve">DW mainline pipe size </t>
  </si>
  <si>
    <t xml:space="preserve">SW mainline pipe size </t>
  </si>
  <si>
    <t>Mainline slope</t>
  </si>
  <si>
    <t xml:space="preserve">Gutter size </t>
  </si>
  <si>
    <t>5 in</t>
  </si>
  <si>
    <t>6in</t>
  </si>
  <si>
    <t>Downspout type</t>
  </si>
  <si>
    <t>2x3</t>
  </si>
  <si>
    <t>3x4</t>
  </si>
  <si>
    <t>Rectangular</t>
  </si>
  <si>
    <t>Round</t>
  </si>
  <si>
    <t xml:space="preserve">Location </t>
  </si>
  <si>
    <t xml:space="preserve">Zip code? </t>
  </si>
  <si>
    <t>Roof area contributing to mainline</t>
  </si>
  <si>
    <t>3in</t>
  </si>
  <si>
    <t>4in</t>
  </si>
  <si>
    <t>5in</t>
  </si>
  <si>
    <t>sf</t>
  </si>
  <si>
    <t>Roof slope</t>
  </si>
  <si>
    <t>Intermittent Calcs</t>
  </si>
  <si>
    <t>Maximum flow rate</t>
  </si>
  <si>
    <t>Knowns</t>
  </si>
  <si>
    <t>Gutter slope</t>
  </si>
  <si>
    <t>Downspout slope</t>
  </si>
  <si>
    <t>Area</t>
  </si>
  <si>
    <t>mannings</t>
  </si>
  <si>
    <t>Hydraulic Radius</t>
  </si>
  <si>
    <t>Slope</t>
  </si>
  <si>
    <t>Flow (cfs)</t>
  </si>
  <si>
    <t>Flow (gpm)</t>
  </si>
  <si>
    <t xml:space="preserve">Pipe size </t>
  </si>
  <si>
    <t>Base stone</t>
  </si>
  <si>
    <t>Trench width (vehicular loading)</t>
  </si>
  <si>
    <t>ft</t>
  </si>
  <si>
    <t>in</t>
  </si>
  <si>
    <t>Total pipe void per linear foot (cf)</t>
  </si>
  <si>
    <t>cf</t>
  </si>
  <si>
    <t>sqft</t>
  </si>
  <si>
    <t>Pipe OD</t>
  </si>
  <si>
    <t>Mannings</t>
  </si>
  <si>
    <t>SW Mannings</t>
  </si>
  <si>
    <t>DW Mannings</t>
  </si>
  <si>
    <t>Hydraulic radius</t>
  </si>
  <si>
    <t>cfs</t>
  </si>
  <si>
    <t>Area (ft^2)</t>
  </si>
  <si>
    <t>gpm</t>
  </si>
  <si>
    <t>https://codes.iccsafe.org/content/IPC2018P5/chapter-11-storm-drainage#IPC2018P5_Ch11_Sec1105.1</t>
  </si>
  <si>
    <t>"diameter and how deep the trench should be to accommodate for that size of pipe"</t>
  </si>
  <si>
    <t>Trench depth??</t>
  </si>
  <si>
    <t>100 yr Intersity (in/hr)</t>
  </si>
  <si>
    <t>K-Shape</t>
  </si>
  <si>
    <t>Intermediate Calcs</t>
  </si>
  <si>
    <t>Flow per downspout</t>
  </si>
  <si>
    <t>Total flow for mainline</t>
  </si>
  <si>
    <t>Mainline size (SW)</t>
  </si>
  <si>
    <t>Mainline size (DW)</t>
  </si>
  <si>
    <t>Total flow from roof runoff</t>
  </si>
  <si>
    <t>Gutter shape</t>
  </si>
  <si>
    <t>Half-Round</t>
  </si>
  <si>
    <t>Nominal Size (in)</t>
  </si>
  <si>
    <t>Slope (in/ft)</t>
  </si>
  <si>
    <t>Capacity (gpm)</t>
  </si>
  <si>
    <t>Capacity (cfs)</t>
  </si>
  <si>
    <t>Horizontal Gutter Sizing (International Plumbing Code Table 1106.6)</t>
  </si>
  <si>
    <t>Shape</t>
  </si>
  <si>
    <t>Dimensions</t>
  </si>
  <si>
    <t>2.5 x 2.5</t>
  </si>
  <si>
    <t>2 x 3</t>
  </si>
  <si>
    <t>3 x 4</t>
  </si>
  <si>
    <t>4 x 5</t>
  </si>
  <si>
    <t>Vertical Leader Sizing (International Plumbing Code Table 1106.3)</t>
  </si>
  <si>
    <t>in/hr</t>
  </si>
  <si>
    <t>DW Pipe Sizes</t>
  </si>
  <si>
    <t>SW Pipe Sizes</t>
  </si>
  <si>
    <t>State/City</t>
  </si>
  <si>
    <t>Arizona – Nogales</t>
  </si>
  <si>
    <t>Arizona – Yuma</t>
  </si>
  <si>
    <t>Arkansas – Little Rock</t>
  </si>
  <si>
    <t>Iowa – Davenport</t>
  </si>
  <si>
    <t>Iowa – Des Moines</t>
  </si>
  <si>
    <t>Iowa – Dubuque</t>
  </si>
  <si>
    <t>Iowa – Sioux City</t>
  </si>
  <si>
    <t>Kansas – Atwood</t>
  </si>
  <si>
    <t>Kansas – Dodge City</t>
  </si>
  <si>
    <t>Kansas – Topeka</t>
  </si>
  <si>
    <t>Kansas – Wichita</t>
  </si>
  <si>
    <t>Kentucky – Ashland</t>
  </si>
  <si>
    <t>Kentucky – Lexington</t>
  </si>
  <si>
    <t>Kentucky – Louisville</t>
  </si>
  <si>
    <t>Kentucky – Middlesboro</t>
  </si>
  <si>
    <t>Kentucky – Paducah</t>
  </si>
  <si>
    <t>Louisiana – Alexandria</t>
  </si>
  <si>
    <t>Louisiana – Lake Providence</t>
  </si>
  <si>
    <t>Louisiana – New Orleans</t>
  </si>
  <si>
    <t>Louisiana – Shreveport</t>
  </si>
  <si>
    <t>Maine – Bangor</t>
  </si>
  <si>
    <t>Maine – Houlton</t>
  </si>
  <si>
    <t>Maine – Portland</t>
  </si>
  <si>
    <t>Maryland – Baltimore</t>
  </si>
  <si>
    <t>Maryland – Hagerstown</t>
  </si>
  <si>
    <t>Maryland – Oakland</t>
  </si>
  <si>
    <t>Maryland – Salisbury</t>
  </si>
  <si>
    <t>Massachusetts – Boston</t>
  </si>
  <si>
    <t>Massachusetts – Pittsfield</t>
  </si>
  <si>
    <t>Massachusetts – Worcester</t>
  </si>
  <si>
    <t>Michigan – Alpena</t>
  </si>
  <si>
    <t>Michigan – Detroit</t>
  </si>
  <si>
    <t>Alabama – Birmingham</t>
  </si>
  <si>
    <t>Alabama – Huntsville</t>
  </si>
  <si>
    <t>Alabama – Mobile</t>
  </si>
  <si>
    <t>Alabama – Montgomery</t>
  </si>
  <si>
    <t>Alaska – Fairbanks</t>
  </si>
  <si>
    <t>Alaska – Juneau</t>
  </si>
  <si>
    <t>Arizona – Flagstaff</t>
  </si>
  <si>
    <t>Arkansas – Fort Smith</t>
  </si>
  <si>
    <t>California – Barstow</t>
  </si>
  <si>
    <t>California – Crescent City</t>
  </si>
  <si>
    <t>California – Fresno</t>
  </si>
  <si>
    <t>California – Los Angeles</t>
  </si>
  <si>
    <t>California – Needles</t>
  </si>
  <si>
    <t>California – Placerville</t>
  </si>
  <si>
    <t>California – San Fernando</t>
  </si>
  <si>
    <t>California – San Francisco</t>
  </si>
  <si>
    <t>California – Yreka</t>
  </si>
  <si>
    <t>Colorado – Craig</t>
  </si>
  <si>
    <t>Colorado – Denver</t>
  </si>
  <si>
    <t>Colorado – Durango</t>
  </si>
  <si>
    <t>Colorado – Grand Junction</t>
  </si>
  <si>
    <t>Colorado – Lamar</t>
  </si>
  <si>
    <t>Colorado – Pueblo</t>
  </si>
  <si>
    <t>Connecticut – Hartford</t>
  </si>
  <si>
    <t>Connecticut – New Haven</t>
  </si>
  <si>
    <t>Connecticut – Putnam</t>
  </si>
  <si>
    <t>Delaware – Georgetown</t>
  </si>
  <si>
    <t>Delaware – Wilmington</t>
  </si>
  <si>
    <t>District of Columbia – Washington</t>
  </si>
  <si>
    <t>Florida – Jacksonville</t>
  </si>
  <si>
    <t>Florida – Key West</t>
  </si>
  <si>
    <t>Florida – Miami</t>
  </si>
  <si>
    <t>Florida – Pensacola</t>
  </si>
  <si>
    <t>Florida – Tampa</t>
  </si>
  <si>
    <t>Georgia – Atlanta</t>
  </si>
  <si>
    <t>Georgia – Dalton</t>
  </si>
  <si>
    <t>Georgia – Macon</t>
  </si>
  <si>
    <t>Georgia – Savannah</t>
  </si>
  <si>
    <t>Georgia – Thomasville</t>
  </si>
  <si>
    <t>Hawaii – Hilo</t>
  </si>
  <si>
    <t>Hawaii – Honolulu</t>
  </si>
  <si>
    <t>Hawaii – Wailuku</t>
  </si>
  <si>
    <t>Idaho – Boise</t>
  </si>
  <si>
    <t>Idaho – Lewiston</t>
  </si>
  <si>
    <t>Idaho – Pocatello</t>
  </si>
  <si>
    <t>Illinois – Cairo</t>
  </si>
  <si>
    <t>Illinois – Chicago</t>
  </si>
  <si>
    <t>Illinois – Peoria</t>
  </si>
  <si>
    <t>Illinois – Rockford</t>
  </si>
  <si>
    <t>Illinois – Springfield</t>
  </si>
  <si>
    <t>Indiana – Evansville</t>
  </si>
  <si>
    <t>Indiana – Fort Wayne</t>
  </si>
  <si>
    <t>Indiana – Indianapolis</t>
  </si>
  <si>
    <t>Michigan – Grand Rapids</t>
  </si>
  <si>
    <t>Michigan – Lansing</t>
  </si>
  <si>
    <t>Michigan – Marquette</t>
  </si>
  <si>
    <t>Michigan – Sault Ste. Marie</t>
  </si>
  <si>
    <t>Minnesota – Duluth</t>
  </si>
  <si>
    <t>Minnesota – Grand Marais</t>
  </si>
  <si>
    <t>Minnesota – Minneapolis</t>
  </si>
  <si>
    <t>Minnesota – Moorhead</t>
  </si>
  <si>
    <t>Minnesota – Worthington</t>
  </si>
  <si>
    <t>Mississippi – Biloxi</t>
  </si>
  <si>
    <t>Mississippi – Columbus</t>
  </si>
  <si>
    <t>Mississippi – Corinth</t>
  </si>
  <si>
    <t>Mississippi – Natchez</t>
  </si>
  <si>
    <t>Mississippi – Vicksburg</t>
  </si>
  <si>
    <t>Missouri – Columbia</t>
  </si>
  <si>
    <t>Missouri – Kansas City</t>
  </si>
  <si>
    <t>Missouri – Springfield</t>
  </si>
  <si>
    <t>Missouri – St. Louis</t>
  </si>
  <si>
    <t>Montana – Ekalaka</t>
  </si>
  <si>
    <t>Montana – Havre</t>
  </si>
  <si>
    <t>Montana – Helena</t>
  </si>
  <si>
    <t>Montana – Kalispell</t>
  </si>
  <si>
    <t>Montana – Missoula</t>
  </si>
  <si>
    <t>Nebraska – North Platte</t>
  </si>
  <si>
    <t>Nebraska – Omaha</t>
  </si>
  <si>
    <t>Nebraska – Scottsbluff</t>
  </si>
  <si>
    <t>Nebraska – Valentine</t>
  </si>
  <si>
    <t>Nevada – Elko</t>
  </si>
  <si>
    <t>Nevada – Ely</t>
  </si>
  <si>
    <t>Nevada – Las Vegas</t>
  </si>
  <si>
    <t>Nevada – Reno</t>
  </si>
  <si>
    <t>New Hampshire – Berlin</t>
  </si>
  <si>
    <t>New Hampshire – Concord</t>
  </si>
  <si>
    <t>New Hampshire – Keene</t>
  </si>
  <si>
    <t>New Jersey – Atlantic City</t>
  </si>
  <si>
    <t>New Jersey – Newark</t>
  </si>
  <si>
    <t>New Jersey – Trenton</t>
  </si>
  <si>
    <t>New Mexico – Albuquerque</t>
  </si>
  <si>
    <t>New Mexico – Hobbs</t>
  </si>
  <si>
    <t>New Mexico – Raton</t>
  </si>
  <si>
    <t>New Mexico – Roswell</t>
  </si>
  <si>
    <t>New Mexico – Silver City</t>
  </si>
  <si>
    <t>New York – Albany</t>
  </si>
  <si>
    <t>New York – Binghamton</t>
  </si>
  <si>
    <t>New York – Buffalo</t>
  </si>
  <si>
    <t>New York – Kingston</t>
  </si>
  <si>
    <t>New York – New York</t>
  </si>
  <si>
    <t>New York – Rochester</t>
  </si>
  <si>
    <t>North Carolina – Asheville</t>
  </si>
  <si>
    <t>North Carolina – Charlotte</t>
  </si>
  <si>
    <t>North Carolina – Greensboro</t>
  </si>
  <si>
    <t>North Carolina – Wilmington</t>
  </si>
  <si>
    <t>North Dakota – Bismarck</t>
  </si>
  <si>
    <t>North Dakota – Devils Lake</t>
  </si>
  <si>
    <t>North Dakota – Fargo</t>
  </si>
  <si>
    <t>North Dakota – Williston</t>
  </si>
  <si>
    <t>Ohio – Cincinnati</t>
  </si>
  <si>
    <t>Ohio – Cleveland</t>
  </si>
  <si>
    <t>Ohio – Columbus</t>
  </si>
  <si>
    <t>Ohio – Toledo</t>
  </si>
  <si>
    <t>Oklahoma – Altus</t>
  </si>
  <si>
    <t>Oklahoma – Boise City</t>
  </si>
  <si>
    <t>Oklahoma – Durant</t>
  </si>
  <si>
    <t>Oklahoma – Oklahoma City</t>
  </si>
  <si>
    <t>Oregon – Baker</t>
  </si>
  <si>
    <t>Oregon – Coos Bay</t>
  </si>
  <si>
    <t>Oregon – Eugene</t>
  </si>
  <si>
    <t>Oregon – Portland</t>
  </si>
  <si>
    <t>Pennsylvania – Erie</t>
  </si>
  <si>
    <t>Pennsylvania – Harrisburg</t>
  </si>
  <si>
    <t>Pennsylvania – Philadelphia</t>
  </si>
  <si>
    <t>Pennsylvania – Pittsburgh</t>
  </si>
  <si>
    <t>Pennsylvania – Scranton</t>
  </si>
  <si>
    <t>Rhode Island – Block Island</t>
  </si>
  <si>
    <t>Rhode Island – Providence</t>
  </si>
  <si>
    <t>South Carolina – Charleston</t>
  </si>
  <si>
    <t>South Carolina – Columbia</t>
  </si>
  <si>
    <t>South Carolina – Greenville</t>
  </si>
  <si>
    <t>South Dakota – Buffalo</t>
  </si>
  <si>
    <t>South Dakota – Huron</t>
  </si>
  <si>
    <t>South Dakota – Pierre</t>
  </si>
  <si>
    <t>South Dakota – Rapid City</t>
  </si>
  <si>
    <t>South Dakota – Yankton</t>
  </si>
  <si>
    <t>Tennessee – Chattanooga</t>
  </si>
  <si>
    <t>Tennessee – Knoxville</t>
  </si>
  <si>
    <t>Tennessee – Memphis</t>
  </si>
  <si>
    <t>Tennessee – Nashville</t>
  </si>
  <si>
    <t>Texas – Abilene</t>
  </si>
  <si>
    <t>Texas – Amarillo</t>
  </si>
  <si>
    <t>Texas – Brownsville</t>
  </si>
  <si>
    <t>Texas – Dallas</t>
  </si>
  <si>
    <t>Texas – Del Rio</t>
  </si>
  <si>
    <t>Texas – El Paso</t>
  </si>
  <si>
    <t>Texas – Houston</t>
  </si>
  <si>
    <t>Texas – Lubbock</t>
  </si>
  <si>
    <t>Texas – Odessa</t>
  </si>
  <si>
    <t>Texas – Pecos</t>
  </si>
  <si>
    <t>Texas – San Antonio</t>
  </si>
  <si>
    <t>Utah – Brigham City</t>
  </si>
  <si>
    <t>Utah – Roosevelt</t>
  </si>
  <si>
    <t>Utah – Salt Lake City</t>
  </si>
  <si>
    <t>Utah – St. George</t>
  </si>
  <si>
    <t>Vermont – Barre</t>
  </si>
  <si>
    <t>Vermont – Bratteboro</t>
  </si>
  <si>
    <t>Vermont – Burlington</t>
  </si>
  <si>
    <t>Vermont – Rutland</t>
  </si>
  <si>
    <t>Virginia – Bristol</t>
  </si>
  <si>
    <t>Virginia – Charlottesville</t>
  </si>
  <si>
    <t>Virginia – Lynchburg</t>
  </si>
  <si>
    <t>Virginia – Norfolk</t>
  </si>
  <si>
    <t>Virginia – Richmond</t>
  </si>
  <si>
    <t>Washington – Omak</t>
  </si>
  <si>
    <t>Washington – Port Angeles</t>
  </si>
  <si>
    <t>Washington – Seattle</t>
  </si>
  <si>
    <t>Washington – Spokane</t>
  </si>
  <si>
    <t>Washington – Yakima</t>
  </si>
  <si>
    <t>West Virginia – Charleston</t>
  </si>
  <si>
    <t>West Virginia – Morgantown</t>
  </si>
  <si>
    <t>Wisconsin – Ashland</t>
  </si>
  <si>
    <t>Wisconsin – Eau Claire</t>
  </si>
  <si>
    <t>Wisconsin – Green Bay</t>
  </si>
  <si>
    <t>Wisconsin – La Crosse</t>
  </si>
  <si>
    <t>Wisconsin – Madison</t>
  </si>
  <si>
    <t>Wisconsin – Milwaukee</t>
  </si>
  <si>
    <t>Wyoming – Cheyenne</t>
  </si>
  <si>
    <t>Wyoming – Fort Bridger</t>
  </si>
  <si>
    <t>Wyoming – Lander</t>
  </si>
  <si>
    <t>Wyoming – New Castle</t>
  </si>
  <si>
    <t>Wyoming – Sheridan</t>
  </si>
  <si>
    <t>Wyoming – Yellowstone Park</t>
  </si>
  <si>
    <t xml:space="preserve">100-yr, 1 hr Rainfall Intensity </t>
  </si>
  <si>
    <t xml:space="preserve">Size Mainline Based On </t>
  </si>
  <si>
    <t xml:space="preserve">Downspout Size </t>
  </si>
  <si>
    <t>Total flow from downspouts</t>
  </si>
  <si>
    <t>historical rainfall data</t>
  </si>
  <si>
    <t>Choose from nearest state/city or input custom value from</t>
  </si>
  <si>
    <t>Arizona – Phoenix</t>
  </si>
  <si>
    <t>Arkansas – Texarkana</t>
  </si>
  <si>
    <t>Inputs</t>
  </si>
  <si>
    <t>in/ft</t>
  </si>
  <si>
    <t>Outputs</t>
  </si>
  <si>
    <t xml:space="preserve">The maximum flow rate reflects that of a completely full pipe. Depending on the soil properties and total length of pipe, the pipe may not reach full capacity through infiltration only. </t>
  </si>
  <si>
    <t>Note:</t>
  </si>
  <si>
    <r>
      <t>ft</t>
    </r>
    <r>
      <rPr>
        <vertAlign val="superscript"/>
        <sz val="11"/>
        <color theme="1"/>
        <rFont val="Aptos Narrow"/>
        <family val="2"/>
        <scheme val="minor"/>
      </rPr>
      <t>2</t>
    </r>
  </si>
  <si>
    <t xml:space="preserve">Nearest State/City </t>
  </si>
  <si>
    <t>No</t>
  </si>
  <si>
    <t>Single Wall</t>
  </si>
  <si>
    <t>Rainfall</t>
  </si>
  <si>
    <t xml:space="preserve">Rainfall Intensity </t>
  </si>
  <si>
    <t xml:space="preserve">Roof Area </t>
  </si>
  <si>
    <t xml:space="preserve">Mainline Slope </t>
  </si>
  <si>
    <t xml:space="preserve">Number Of Downspouts Contributing To Mainline </t>
  </si>
  <si>
    <t xml:space="preserve">Mainline Size (SW) </t>
  </si>
  <si>
    <t xml:space="preserve">Mainline Size (DW) </t>
  </si>
  <si>
    <t xml:space="preserve">Total Number Of Downspouts For Roof Area </t>
  </si>
  <si>
    <t xml:space="preserve">Number Of Downspouts Contributing to Mainline </t>
  </si>
  <si>
    <t xml:space="preserve">Pipe Size </t>
  </si>
  <si>
    <t xml:space="preserve">Vehicular Loading? </t>
  </si>
  <si>
    <t xml:space="preserve">Pipe Slope </t>
  </si>
  <si>
    <t xml:space="preserve">Trench Length </t>
  </si>
  <si>
    <t xml:space="preserve">Trench Width </t>
  </si>
  <si>
    <t xml:space="preserve">Stone Depth </t>
  </si>
  <si>
    <t xml:space="preserve">Recommended Minimum Base Stone </t>
  </si>
  <si>
    <t xml:space="preserve">Recommended Minimum Cover Height </t>
  </si>
  <si>
    <t xml:space="preserve">Estimated Stone Quantity </t>
  </si>
  <si>
    <t xml:space="preserve">Estimated Non-Woven Fabric </t>
  </si>
  <si>
    <t xml:space="preserve">Maximum Flow Rate </t>
  </si>
  <si>
    <t>Minimum Recommended Stone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</si>
</sst>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i/>
      <u/>
      <sz val="11"/>
      <color rgb="FF0070C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20" xfId="0" applyFont="1" applyBorder="1" applyAlignment="1" applyProtection="1">
      <alignment horizontal="right"/>
      <protection locked="0"/>
    </xf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0" fillId="0" borderId="13" xfId="0" applyBorder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20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0" fillId="2" borderId="17" xfId="0" applyFill="1" applyBorder="1"/>
    <xf numFmtId="0" fontId="0" fillId="2" borderId="18" xfId="0" applyFill="1" applyBorder="1"/>
    <xf numFmtId="0" fontId="1" fillId="2" borderId="18" xfId="0" applyFont="1" applyFill="1" applyBorder="1"/>
    <xf numFmtId="0" fontId="0" fillId="2" borderId="19" xfId="0" applyFill="1" applyBorder="1"/>
    <xf numFmtId="0" fontId="0" fillId="0" borderId="1" xfId="0" applyBorder="1"/>
    <xf numFmtId="0" fontId="1" fillId="0" borderId="15" xfId="0" applyFont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13" xfId="0" applyFont="1" applyBorder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/>
    <xf numFmtId="0" fontId="1" fillId="0" borderId="3" xfId="0" applyFont="1" applyBorder="1"/>
    <xf numFmtId="0" fontId="0" fillId="0" borderId="2" xfId="0" applyBorder="1"/>
    <xf numFmtId="0" fontId="0" fillId="0" borderId="15" xfId="0" applyBorder="1" applyAlignment="1">
      <alignment horizontal="right"/>
    </xf>
    <xf numFmtId="0" fontId="1" fillId="2" borderId="0" xfId="0" applyFont="1" applyFill="1"/>
    <xf numFmtId="0" fontId="0" fillId="0" borderId="7" xfId="0" applyBorder="1"/>
    <xf numFmtId="0" fontId="5" fillId="0" borderId="0" xfId="1" applyFont="1" applyBorder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1" fillId="2" borderId="0" xfId="0" applyFont="1" applyFill="1" applyBorder="1"/>
    <xf numFmtId="0" fontId="0" fillId="0" borderId="0" xfId="0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  <xf numFmtId="1" fontId="1" fillId="2" borderId="15" xfId="0" applyNumberFormat="1" applyFont="1" applyFill="1" applyBorder="1"/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0" xfId="0" applyFont="1" applyBorder="1"/>
    <xf numFmtId="0" fontId="1" fillId="0" borderId="0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protection locked="1" hidden="0"/>
    </dxf>
    <dxf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8814</xdr:rowOff>
    </xdr:from>
    <xdr:to>
      <xdr:col>17</xdr:col>
      <xdr:colOff>7412</xdr:colOff>
      <xdr:row>23</xdr:row>
      <xdr:rowOff>58482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9DC81A-A4C1-4059-9CA7-F1E35C89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922473"/>
          <a:ext cx="4657344" cy="2569464"/>
        </a:xfrm>
        <a:prstGeom prst="rect">
          <a:avLst/>
        </a:prstGeom>
      </xdr:spPr>
    </xdr:pic>
    <xdr:clientData/>
  </xdr:twoCellAnchor>
  <xdr:twoCellAnchor>
    <xdr:from>
      <xdr:col>10</xdr:col>
      <xdr:colOff>181840</xdr:colOff>
      <xdr:row>7</xdr:row>
      <xdr:rowOff>17314</xdr:rowOff>
    </xdr:from>
    <xdr:to>
      <xdr:col>15</xdr:col>
      <xdr:colOff>431666</xdr:colOff>
      <xdr:row>10</xdr:row>
      <xdr:rowOff>100144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798164-BF2E-497B-AB18-88DB0663972C}"/>
            </a:ext>
          </a:extLst>
        </xdr:cNvPr>
        <xdr:cNvSpPr txBox="1"/>
      </xdr:nvSpPr>
      <xdr:spPr>
        <a:xfrm>
          <a:off x="9585613" y="1359473"/>
          <a:ext cx="4847803" cy="654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+mj-lt"/>
            </a:rPr>
            <a:t>Pipe Slope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2101215</xdr:colOff>
      <xdr:row>7</xdr:row>
      <xdr:rowOff>183392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052D03-505E-4F42-A96B-FA803FCF2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67670" cy="1525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87713</xdr:colOff>
      <xdr:row>8</xdr:row>
      <xdr:rowOff>2417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45758" cy="1526417"/>
        </a:xfrm>
        <a:prstGeom prst="rect">
          <a:avLst/>
        </a:prstGeom>
      </xdr:spPr>
    </xdr:pic>
    <xdr:clientData/>
  </xdr:twoCellAnchor>
  <xdr:twoCellAnchor editAs="oneCell">
    <xdr:from>
      <xdr:col>7</xdr:col>
      <xdr:colOff>306462</xdr:colOff>
      <xdr:row>21</xdr:row>
      <xdr:rowOff>136663</xdr:rowOff>
    </xdr:from>
    <xdr:to>
      <xdr:col>14</xdr:col>
      <xdr:colOff>560241</xdr:colOff>
      <xdr:row>39</xdr:row>
      <xdr:rowOff>86570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B35E5C-2AAC-51CD-7828-095D17A24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8007" y="4137163"/>
          <a:ext cx="5250075" cy="3396225"/>
        </a:xfrm>
        <a:prstGeom prst="rect">
          <a:avLst/>
        </a:prstGeom>
      </xdr:spPr>
    </xdr:pic>
    <xdr:clientData/>
  </xdr:twoCellAnchor>
  <xdr:twoCellAnchor editAs="oneCell">
    <xdr:from>
      <xdr:col>8</xdr:col>
      <xdr:colOff>914</xdr:colOff>
      <xdr:row>6</xdr:row>
      <xdr:rowOff>75458</xdr:rowOff>
    </xdr:from>
    <xdr:to>
      <xdr:col>14</xdr:col>
      <xdr:colOff>251910</xdr:colOff>
      <xdr:row>19</xdr:row>
      <xdr:rowOff>168422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2DC8534-BC79-B13A-FDC9-1D6B6849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479" y="1218458"/>
          <a:ext cx="4657344" cy="2569464"/>
        </a:xfrm>
        <a:prstGeom prst="rect">
          <a:avLst/>
        </a:prstGeom>
      </xdr:spPr>
    </xdr:pic>
    <xdr:clientData/>
  </xdr:twoCellAnchor>
  <xdr:twoCellAnchor>
    <xdr:from>
      <xdr:col>10</xdr:col>
      <xdr:colOff>165652</xdr:colOff>
      <xdr:row>3</xdr:row>
      <xdr:rowOff>57980</xdr:rowOff>
    </xdr:from>
    <xdr:to>
      <xdr:col>12</xdr:col>
      <xdr:colOff>637761</xdr:colOff>
      <xdr:row>6</xdr:row>
      <xdr:rowOff>140806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98C04FB-C598-492E-A542-943CB3E8CD48}"/>
            </a:ext>
          </a:extLst>
        </xdr:cNvPr>
        <xdr:cNvSpPr txBox="1"/>
      </xdr:nvSpPr>
      <xdr:spPr>
        <a:xfrm>
          <a:off x="7123043" y="629480"/>
          <a:ext cx="1855305" cy="654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+mj-lt"/>
            </a:rPr>
            <a:t>Pipe Slope</a:t>
          </a:r>
        </a:p>
      </xdr:txBody>
    </xdr:sp>
    <xdr:clientData/>
  </xdr:twoCellAnchor>
  <xdr:twoCellAnchor>
    <xdr:from>
      <xdr:col>10</xdr:col>
      <xdr:colOff>177243</xdr:colOff>
      <xdr:row>19</xdr:row>
      <xdr:rowOff>15746</xdr:rowOff>
    </xdr:from>
    <xdr:to>
      <xdr:col>12</xdr:col>
      <xdr:colOff>649352</xdr:colOff>
      <xdr:row>22</xdr:row>
      <xdr:rowOff>98572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4C16BE0-5365-44AB-881C-F50A11EDBFAC}"/>
            </a:ext>
          </a:extLst>
        </xdr:cNvPr>
        <xdr:cNvSpPr txBox="1"/>
      </xdr:nvSpPr>
      <xdr:spPr>
        <a:xfrm>
          <a:off x="7087198" y="3635246"/>
          <a:ext cx="1848904" cy="654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+mj-lt"/>
            </a:rPr>
            <a:t>Trench Layout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40</xdr:row>
      <xdr:rowOff>38065</xdr:rowOff>
    </xdr:from>
    <xdr:to>
      <xdr:col>19</xdr:col>
      <xdr:colOff>454921</xdr:colOff>
      <xdr:row>63</xdr:row>
      <xdr:rowOff>189513</xdr:rowOff>
    </xdr:to>
    <xdr:pic>
      <xdr:nvPicPr>
        <xdr:cNvPr id="3" name="Picture 2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7658065"/>
          <a:ext cx="10465696" cy="4532948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65</xdr:row>
      <xdr:rowOff>3357</xdr:rowOff>
    </xdr:from>
    <xdr:to>
      <xdr:col>18</xdr:col>
      <xdr:colOff>589138</xdr:colOff>
      <xdr:row>88</xdr:row>
      <xdr:rowOff>27873</xdr:rowOff>
    </xdr:to>
    <xdr:pic>
      <xdr:nvPicPr>
        <xdr:cNvPr id="4" name="Picture 3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325" y="12385857"/>
          <a:ext cx="8856838" cy="4406016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90</xdr:row>
      <xdr:rowOff>145049</xdr:rowOff>
    </xdr:from>
    <xdr:to>
      <xdr:col>25</xdr:col>
      <xdr:colOff>198231</xdr:colOff>
      <xdr:row>125</xdr:row>
      <xdr:rowOff>179956</xdr:rowOff>
    </xdr:to>
    <xdr:pic>
      <xdr:nvPicPr>
        <xdr:cNvPr id="6" name="Picture 5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6775" y="17290049"/>
          <a:ext cx="11799681" cy="67024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FE72E0-DBE5-4D89-B706-70BDB694F3B2}" name="Table1" displayName="Table1" ref="P20:X25" totalsRowShown="0" headerRowDxfId="26" dataDxfId="25">
  <autoFilter ref="P20:X25" xr:uid="{D4FE72E0-DBE5-4D89-B706-70BDB694F3B2}"/>
  <tableColumns count="9">
    <tableColumn id="1" xr3:uid="{F71D5247-9BFD-4BF0-AA3C-29C74C1C568E}" name="Pipe size " dataDxfId="24"/>
    <tableColumn id="8" xr3:uid="{ECFC33FC-2277-497D-A5E3-41030A9BBAB8}" name="Pipe OD" dataDxfId="23"/>
    <tableColumn id="9" xr3:uid="{0E4BF7A0-B2FE-4C4E-B87D-ECF18A80BE53}" name="SW Mannings" dataDxfId="22"/>
    <tableColumn id="7" xr3:uid="{2F3A2ADF-08F5-4241-AE5C-A44E975201FA}" name="DW Mannings" dataDxfId="21"/>
    <tableColumn id="11" xr3:uid="{A56B263D-E8DA-47A7-A1CA-A3BD7BE8A868}" name="Area (ft^2)" dataDxfId="20">
      <calculatedColumnFormula>PI()*Table1[[#This Row],[Pipe size ]]^2/(144*4)</calculatedColumnFormula>
    </tableColumn>
    <tableColumn id="10" xr3:uid="{A71EACCC-74D6-4017-BEC0-B0AF3C468D15}" name="Hydraulic Radius" dataDxfId="19">
      <calculatedColumnFormula>Table1[[#This Row],[Area (ft^2)]]/(PI()*Table1[[#This Row],[Pipe size ]]/12)</calculatedColumnFormula>
    </tableColumn>
    <tableColumn id="2" xr3:uid="{23A4F1E1-6BCD-4B4B-91E7-C1D466BA1E3E}" name="Base stone" dataDxfId="18"/>
    <tableColumn id="3" xr3:uid="{00B07C51-D417-45D3-982F-B7E61DC3D274}" name="Trench width (vehicular loading)" dataDxfId="17"/>
    <tableColumn id="4" xr3:uid="{A821AA7E-2F4D-475C-8655-97928271C9E5}" name="Total pipe void per linear foot (cf)" dataDxfId="16">
      <calculatedColumnFormula>W21/12^3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F15701-473C-4DAD-A24B-3C14D4E3AE6C}" name="Table3" displayName="Table3" ref="B2:C219" totalsRowShown="0">
  <autoFilter ref="B2:C219" xr:uid="{24F15701-473C-4DAD-A24B-3C14D4E3AE6C}"/>
  <tableColumns count="2">
    <tableColumn id="1" xr3:uid="{DFD53FF1-2C1F-4269-9322-06A339EAF77C}" name="State/City"/>
    <tableColumn id="4" xr3:uid="{1A97F19E-941E-4C06-AEA6-A8B8D970526B}" name="100 yr Intersity (in/hr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CD52ED-430F-409F-9D12-37B3EA383DEB}" name="Table6" displayName="Table6" ref="G2:K8" totalsRowShown="0">
  <autoFilter ref="G2:K8" xr:uid="{B7CD52ED-430F-409F-9D12-37B3EA383DEB}"/>
  <tableColumns count="5">
    <tableColumn id="1" xr3:uid="{0BCE6AF4-3386-43B6-97E5-D6B5B392CCEB}" name="Gutter shape"/>
    <tableColumn id="2" xr3:uid="{0CE01820-B541-4880-8305-A0DA7BB0C288}" name="Nominal Size (in)"/>
    <tableColumn id="3" xr3:uid="{993B3580-EB8F-4294-A44D-3734574E2AE7}" name="Slope (in/ft)"/>
    <tableColumn id="4" xr3:uid="{2A6D6D4C-B882-4425-B91E-F8502C8484C8}" name="Capacity (gpm)"/>
    <tableColumn id="5" xr3:uid="{CD335FBC-1BD5-40FB-824C-83EF3A10D2B0}" name="Capacity (cfs)">
      <calculatedColumnFormula>J3*0.002228009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F6437AA-58F0-4EB8-8912-C742ABA3C731}" name="Table7" displayName="Table7" ref="N2:Q11" totalsRowShown="0">
  <autoFilter ref="N2:Q11" xr:uid="{CF6437AA-58F0-4EB8-8912-C742ABA3C731}"/>
  <tableColumns count="4">
    <tableColumn id="1" xr3:uid="{B515EABD-9049-4949-80E3-82086AFD6B37}" name="Shape"/>
    <tableColumn id="2" xr3:uid="{E4D78393-16D0-40D3-9580-4D7209BBA980}" name="Dimensions"/>
    <tableColumn id="3" xr3:uid="{940ADA3F-D15B-4B4E-8279-B5889C90744C}" name="Capacity (gpm)"/>
    <tableColumn id="4" xr3:uid="{990038E8-B779-4D54-B559-4D990963E372}" name="Capacity (cfs)">
      <calculatedColumnFormula>P3*0.002228009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FE61F5-93A1-4C03-B033-F04572905CDD}" name="Table2" displayName="Table2" ref="M3:R8" totalsRowShown="0">
  <autoFilter ref="M3:R8" xr:uid="{AEFE61F5-93A1-4C03-B033-F04572905CDD}"/>
  <tableColumns count="6">
    <tableColumn id="1" xr3:uid="{19F43595-0C17-41E7-BD2E-1D4D1FDBAF6C}" name="Pipe size "/>
    <tableColumn id="2" xr3:uid="{2FB4F54E-7200-473C-9BA2-BDD83C02E039}" name="Pipe OD"/>
    <tableColumn id="3" xr3:uid="{4E22C40B-32C7-46C2-87EC-584EFEAC2295}" name="SW Mannings"/>
    <tableColumn id="4" xr3:uid="{301533D7-19B1-42A9-AC41-5E07173370EB}" name="DW Mannings"/>
    <tableColumn id="5" xr3:uid="{035FBF5D-384A-48F2-B1DA-12758645A1A8}" name="Area (ft^2)"/>
    <tableColumn id="6" xr3:uid="{223CA232-9F93-4C92-A742-4C82E888F4C9}" name="Hydraulic Radi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dsc.nws.noaa.gov/pfd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C67F-123E-4E87-8261-A8D3D5A2BE37}">
  <sheetPr codeName="Sheet2"/>
  <dimension ref="B4:N34"/>
  <sheetViews>
    <sheetView showGridLines="0" topLeftCell="A4" zoomScale="110" zoomScaleNormal="110" workbookViewId="0">
      <selection activeCell="D13" sqref="D13:E13"/>
    </sheetView>
  </sheetViews>
  <sheetFormatPr defaultRowHeight="15" x14ac:dyDescent="0.25"/>
  <cols>
    <col min="2" max="2" width="17.42578125" customWidth="1"/>
    <col min="3" max="3" width="37" customWidth="1"/>
    <col min="4" max="4" width="11.85546875" customWidth="1"/>
    <col min="5" max="5" width="20.28515625" customWidth="1"/>
    <col min="11" max="11" width="11.5703125" customWidth="1"/>
    <col min="12" max="12" width="26" hidden="1" customWidth="1"/>
    <col min="13" max="13" width="14" hidden="1" customWidth="1"/>
    <col min="14" max="14" width="4.85546875" hidden="1" customWidth="1"/>
    <col min="15" max="15" width="12.5703125" customWidth="1"/>
    <col min="16" max="16" width="18.28515625" customWidth="1"/>
  </cols>
  <sheetData>
    <row r="4" spans="2:13" ht="15.75" thickBot="1" x14ac:dyDescent="0.3"/>
    <row r="5" spans="2:13" x14ac:dyDescent="0.25">
      <c r="L5" s="36" t="s">
        <v>78</v>
      </c>
      <c r="M5" s="37" t="s">
        <v>77</v>
      </c>
    </row>
    <row r="6" spans="2:13" x14ac:dyDescent="0.25">
      <c r="L6" s="5">
        <v>15</v>
      </c>
      <c r="M6" s="6">
        <v>24</v>
      </c>
    </row>
    <row r="7" spans="2:13" x14ac:dyDescent="0.25">
      <c r="L7" s="5">
        <v>12</v>
      </c>
      <c r="M7" s="6">
        <v>18</v>
      </c>
    </row>
    <row r="8" spans="2:13" x14ac:dyDescent="0.25">
      <c r="L8" s="5">
        <v>10</v>
      </c>
      <c r="M8" s="6">
        <v>15</v>
      </c>
    </row>
    <row r="9" spans="2:13" x14ac:dyDescent="0.25">
      <c r="B9" s="43" t="s">
        <v>303</v>
      </c>
      <c r="C9" s="44"/>
      <c r="D9" s="44"/>
      <c r="E9" s="44"/>
      <c r="F9" s="45"/>
      <c r="L9" s="5">
        <v>8</v>
      </c>
      <c r="M9" s="6">
        <v>12</v>
      </c>
    </row>
    <row r="10" spans="2:13" x14ac:dyDescent="0.25">
      <c r="B10" s="7"/>
      <c r="C10" s="8"/>
      <c r="D10" s="8"/>
      <c r="E10" s="8"/>
      <c r="F10" s="9"/>
      <c r="L10" s="5">
        <v>6</v>
      </c>
      <c r="M10" s="6">
        <v>10</v>
      </c>
    </row>
    <row r="11" spans="2:13" x14ac:dyDescent="0.25">
      <c r="B11" s="10"/>
      <c r="C11" s="11" t="s">
        <v>296</v>
      </c>
      <c r="D11" s="21" t="s">
        <v>312</v>
      </c>
      <c r="F11" s="12"/>
      <c r="L11" s="5">
        <v>5</v>
      </c>
      <c r="M11" s="6">
        <v>8</v>
      </c>
    </row>
    <row r="12" spans="2:13" x14ac:dyDescent="0.25">
      <c r="B12" s="10"/>
      <c r="C12" s="11"/>
      <c r="F12" s="12"/>
      <c r="L12" s="5">
        <v>4</v>
      </c>
      <c r="M12" s="6">
        <v>6</v>
      </c>
    </row>
    <row r="13" spans="2:13" ht="15.75" thickBot="1" x14ac:dyDescent="0.3">
      <c r="B13" s="10"/>
      <c r="C13" s="11" t="s">
        <v>309</v>
      </c>
      <c r="D13" s="46" t="s">
        <v>171</v>
      </c>
      <c r="E13" s="46"/>
      <c r="F13" s="12"/>
      <c r="L13" s="15">
        <v>3</v>
      </c>
      <c r="M13" s="6">
        <v>4</v>
      </c>
    </row>
    <row r="14" spans="2:13" x14ac:dyDescent="0.25">
      <c r="B14" s="10"/>
      <c r="C14" s="13" t="s">
        <v>295</v>
      </c>
      <c r="D14" s="14">
        <f>VLOOKUP('Downspout Main Calculator'!D13,Table3[],2,FALSE)</f>
        <v>3.1</v>
      </c>
      <c r="E14" s="14" t="s">
        <v>76</v>
      </c>
      <c r="F14" s="12"/>
      <c r="M14" s="6"/>
    </row>
    <row r="15" spans="2:13" ht="15.75" thickBot="1" x14ac:dyDescent="0.3">
      <c r="B15" s="10"/>
      <c r="C15" s="11" t="s">
        <v>297</v>
      </c>
      <c r="D15" s="34" t="s">
        <v>72</v>
      </c>
      <c r="E15" t="s">
        <v>39</v>
      </c>
      <c r="F15" s="12"/>
      <c r="M15" s="16"/>
    </row>
    <row r="16" spans="2:13" x14ac:dyDescent="0.25">
      <c r="B16" s="10"/>
      <c r="C16" s="11" t="s">
        <v>313</v>
      </c>
      <c r="D16" s="35">
        <v>3.5</v>
      </c>
      <c r="E16" t="s">
        <v>76</v>
      </c>
      <c r="F16" s="12"/>
    </row>
    <row r="17" spans="2:14" ht="15.75" thickBot="1" x14ac:dyDescent="0.3">
      <c r="B17" s="10"/>
      <c r="C17" s="13" t="s">
        <v>300</v>
      </c>
      <c r="D17" s="42" t="s">
        <v>299</v>
      </c>
      <c r="E17" s="1"/>
      <c r="F17" s="12"/>
    </row>
    <row r="18" spans="2:14" x14ac:dyDescent="0.25">
      <c r="B18" s="10"/>
      <c r="C18" s="11" t="s">
        <v>316</v>
      </c>
      <c r="D18" s="35">
        <v>3</v>
      </c>
      <c r="E18" s="1"/>
      <c r="F18" s="12"/>
      <c r="L18" s="36" t="s">
        <v>56</v>
      </c>
      <c r="M18" s="38"/>
      <c r="N18" s="17"/>
    </row>
    <row r="19" spans="2:14" ht="16.5" x14ac:dyDescent="0.25">
      <c r="B19" s="10"/>
      <c r="C19" s="11" t="s">
        <v>314</v>
      </c>
      <c r="D19" s="35">
        <v>1500</v>
      </c>
      <c r="E19" t="s">
        <v>308</v>
      </c>
      <c r="F19" s="12"/>
      <c r="L19" s="5" t="s">
        <v>61</v>
      </c>
      <c r="M19">
        <f>D16*D19/(12*3600)</f>
        <v>0.12152777777777778</v>
      </c>
      <c r="N19" s="6" t="s">
        <v>48</v>
      </c>
    </row>
    <row r="20" spans="2:14" x14ac:dyDescent="0.25">
      <c r="B20" s="10"/>
      <c r="C20" s="11" t="s">
        <v>315</v>
      </c>
      <c r="D20" s="35">
        <v>0.2</v>
      </c>
      <c r="E20" t="s">
        <v>304</v>
      </c>
      <c r="F20" s="12"/>
      <c r="L20" s="5"/>
      <c r="M20">
        <f>M19*448.8</f>
        <v>54.541666666666664</v>
      </c>
      <c r="N20" s="6" t="s">
        <v>50</v>
      </c>
    </row>
    <row r="21" spans="2:14" x14ac:dyDescent="0.25">
      <c r="B21" s="10"/>
      <c r="C21" s="11" t="s">
        <v>319</v>
      </c>
      <c r="D21" s="35">
        <v>2</v>
      </c>
      <c r="F21" s="12"/>
      <c r="L21" s="5" t="s">
        <v>57</v>
      </c>
      <c r="M21">
        <f>M19/D21</f>
        <v>6.0763888888888888E-2</v>
      </c>
      <c r="N21" s="6" t="s">
        <v>48</v>
      </c>
    </row>
    <row r="22" spans="2:14" x14ac:dyDescent="0.25">
      <c r="B22" s="10"/>
      <c r="C22" s="11" t="s">
        <v>320</v>
      </c>
      <c r="D22" s="35">
        <v>2</v>
      </c>
      <c r="F22" s="12"/>
      <c r="L22" s="5"/>
      <c r="M22">
        <f>M21*448.8</f>
        <v>27.270833333333332</v>
      </c>
      <c r="N22" s="6" t="s">
        <v>50</v>
      </c>
    </row>
    <row r="23" spans="2:14" x14ac:dyDescent="0.25">
      <c r="B23" s="10"/>
      <c r="C23" s="11"/>
      <c r="F23" s="12"/>
      <c r="L23" s="5" t="s">
        <v>58</v>
      </c>
      <c r="M23">
        <f>IF(D21&gt;D22,M21*D22,M19)</f>
        <v>0.12152777777777778</v>
      </c>
      <c r="N23" s="6" t="s">
        <v>48</v>
      </c>
    </row>
    <row r="24" spans="2:14" x14ac:dyDescent="0.25">
      <c r="B24" s="10"/>
      <c r="C24" s="11" t="s">
        <v>315</v>
      </c>
      <c r="D24" s="35">
        <v>0.1</v>
      </c>
      <c r="E24" t="s">
        <v>304</v>
      </c>
      <c r="F24" s="12"/>
      <c r="L24" s="5"/>
      <c r="M24">
        <f>M23*448.8</f>
        <v>54.541666666666664</v>
      </c>
      <c r="N24" s="6" t="s">
        <v>50</v>
      </c>
    </row>
    <row r="25" spans="2:14" x14ac:dyDescent="0.25">
      <c r="B25" s="18"/>
      <c r="C25" s="39"/>
      <c r="D25" s="19"/>
      <c r="E25" s="19"/>
      <c r="F25" s="20"/>
      <c r="L25" s="5" t="s">
        <v>59</v>
      </c>
      <c r="M25">
        <f>12*((4*$M$23*0.016)/(1.49*PI()*($D$24/12)^0.5*0.25^(2/3)))^(3/8)</f>
        <v>3.7777872676855404</v>
      </c>
      <c r="N25" s="6" t="s">
        <v>39</v>
      </c>
    </row>
    <row r="26" spans="2:14" x14ac:dyDescent="0.25">
      <c r="L26" s="5" t="s">
        <v>60</v>
      </c>
      <c r="M26">
        <f>12*((4*$M$23*0.012)/(1.49*PI()*($D$24/12)^0.5*0.25^(2/3)))^(3/8)</f>
        <v>3.391450419134598</v>
      </c>
      <c r="N26" s="6" t="s">
        <v>39</v>
      </c>
    </row>
    <row r="27" spans="2:14" x14ac:dyDescent="0.25">
      <c r="L27" s="5"/>
      <c r="N27" s="6"/>
    </row>
    <row r="28" spans="2:14" x14ac:dyDescent="0.25">
      <c r="B28" s="43" t="s">
        <v>305</v>
      </c>
      <c r="C28" s="44"/>
      <c r="D28" s="44"/>
      <c r="E28" s="44"/>
      <c r="F28" s="45"/>
      <c r="L28" s="5" t="s">
        <v>298</v>
      </c>
      <c r="M28">
        <f>VLOOKUP(D15,Table7[[Dimensions]:[Capacity (cfs)]],3,FALSE)*D18</f>
        <v>0.36093745799999999</v>
      </c>
      <c r="N28" s="6" t="s">
        <v>48</v>
      </c>
    </row>
    <row r="29" spans="2:14" x14ac:dyDescent="0.25">
      <c r="B29" s="7"/>
      <c r="C29" s="8"/>
      <c r="D29" s="8"/>
      <c r="E29" s="8"/>
      <c r="F29" s="9"/>
      <c r="L29" s="5"/>
      <c r="M29">
        <f>M28*448.8</f>
        <v>161.98873115039999</v>
      </c>
      <c r="N29" s="6" t="s">
        <v>50</v>
      </c>
    </row>
    <row r="30" spans="2:14" x14ac:dyDescent="0.25">
      <c r="B30" s="10"/>
      <c r="C30" s="11" t="s">
        <v>317</v>
      </c>
      <c r="D30" s="40">
        <f>INDEX(L6:L13,MATCH(M25,L6:L13,-1))</f>
        <v>4</v>
      </c>
      <c r="E30" t="s">
        <v>39</v>
      </c>
      <c r="F30" s="12"/>
      <c r="L30" s="5" t="s">
        <v>59</v>
      </c>
      <c r="M30">
        <f>12*((4*$M$28*0.016)/(1.49*PI()*($D$20/12)^0.5*0.25^(2/3)))^(3/8)</f>
        <v>4.989741234600432</v>
      </c>
      <c r="N30" s="6" t="s">
        <v>39</v>
      </c>
    </row>
    <row r="31" spans="2:14" ht="15.75" thickBot="1" x14ac:dyDescent="0.3">
      <c r="B31" s="10"/>
      <c r="C31" s="11" t="s">
        <v>317</v>
      </c>
      <c r="D31" s="40">
        <f>INDEX(L6:L13,MATCH(M30,L6:L13,-1))</f>
        <v>5</v>
      </c>
      <c r="E31" t="s">
        <v>39</v>
      </c>
      <c r="F31" s="12"/>
      <c r="L31" s="15" t="s">
        <v>60</v>
      </c>
      <c r="M31" s="41">
        <f>12*((4*$M$28*0.012)/(1.49*PI()*($D$20/12)^0.5*0.25^(2/3)))^(3/8)</f>
        <v>4.4794634537021878</v>
      </c>
      <c r="N31" s="16" t="s">
        <v>39</v>
      </c>
    </row>
    <row r="32" spans="2:14" x14ac:dyDescent="0.25">
      <c r="B32" s="10"/>
      <c r="C32" s="11" t="s">
        <v>318</v>
      </c>
      <c r="D32" s="40">
        <f>INDEX(M6:M13,MATCH(M26,M6:M13,-1))</f>
        <v>4</v>
      </c>
      <c r="E32" t="s">
        <v>39</v>
      </c>
      <c r="F32" s="12"/>
    </row>
    <row r="33" spans="2:6" x14ac:dyDescent="0.25">
      <c r="B33" s="10"/>
      <c r="C33" s="11" t="s">
        <v>318</v>
      </c>
      <c r="D33" s="40">
        <f>INDEX(M6:M13,MATCH(M31,M6:M13,-1))</f>
        <v>6</v>
      </c>
      <c r="E33" t="s">
        <v>39</v>
      </c>
      <c r="F33" s="12"/>
    </row>
    <row r="34" spans="2:6" x14ac:dyDescent="0.25">
      <c r="B34" s="18"/>
      <c r="C34" s="19"/>
      <c r="D34" s="19"/>
      <c r="E34" s="19"/>
      <c r="F34" s="20"/>
    </row>
  </sheetData>
  <sheetProtection algorithmName="SHA-512" hashValue="Z7Vv/N/Hu/iNRoQgI5sABRAiJgwLktRwfQMwraTLb5w153YTWqsSP8yj2xKzRiFG6ulIQey9dkkOPxjdEeLVzg==" saltValue="euNucnFiUnkS61RD0NcEWw==" spinCount="100000" sheet="1" objects="1" scenarios="1" selectLockedCells="1"/>
  <mergeCells count="3">
    <mergeCell ref="B9:F9"/>
    <mergeCell ref="D13:E13"/>
    <mergeCell ref="B28:F28"/>
  </mergeCells>
  <conditionalFormatting sqref="C15 E15 C18 E18 C20 E20">
    <cfRule type="expression" dxfId="15" priority="71">
      <formula>$D$11="Rainfall"</formula>
    </cfRule>
  </conditionalFormatting>
  <conditionalFormatting sqref="C13:E14 C16:D17 C19:E19 C21:D22 C24:E24">
    <cfRule type="expression" dxfId="14" priority="4">
      <formula>$D$11="Downspouts"</formula>
    </cfRule>
  </conditionalFormatting>
  <conditionalFormatting sqref="C30:E30 C32:E32">
    <cfRule type="expression" dxfId="13" priority="17">
      <formula>$D$11="Downspouts"</formula>
    </cfRule>
  </conditionalFormatting>
  <conditionalFormatting sqref="C31:E31 C33:E33">
    <cfRule type="expression" dxfId="12" priority="13">
      <formula>$D$11="Rainfall"</formula>
    </cfRule>
  </conditionalFormatting>
  <conditionalFormatting sqref="D15 D18 D20">
    <cfRule type="expression" dxfId="11" priority="6">
      <formula>$D$11="Rainfall"</formula>
    </cfRule>
    <cfRule type="expression" dxfId="10" priority="7">
      <formula>$D$11="Downspouts"</formula>
    </cfRule>
  </conditionalFormatting>
  <conditionalFormatting sqref="D30 D32">
    <cfRule type="expression" dxfId="9" priority="12">
      <formula>$D$11="Rainfall"</formula>
    </cfRule>
  </conditionalFormatting>
  <conditionalFormatting sqref="D31 D33">
    <cfRule type="expression" dxfId="8" priority="11">
      <formula>$D$11="Downspouts"</formula>
    </cfRule>
  </conditionalFormatting>
  <conditionalFormatting sqref="D32">
    <cfRule type="expression" dxfId="7" priority="18">
      <formula>$D$11="Downspouts"</formula>
    </cfRule>
  </conditionalFormatting>
  <conditionalFormatting sqref="D13:E13 D16 D19 D21:D22 D24">
    <cfRule type="expression" dxfId="6" priority="5">
      <formula>$D$11="Rainfall"</formula>
    </cfRule>
  </conditionalFormatting>
  <conditionalFormatting sqref="E16">
    <cfRule type="expression" dxfId="5" priority="10">
      <formula>$D$11="Downspouts"</formula>
    </cfRule>
  </conditionalFormatting>
  <conditionalFormatting sqref="C13:E24 C30:E33">
    <cfRule type="expression" dxfId="4" priority="1">
      <formula>ISBLANK($D$11)=TRUE</formula>
    </cfRule>
  </conditionalFormatting>
  <dataValidations count="1">
    <dataValidation type="list" allowBlank="1" showInputMessage="1" showErrorMessage="1" sqref="D11" xr:uid="{687AF340-A947-4FDD-8458-23FAECD3F91D}">
      <formula1>"Rainfall, Downspouts"</formula1>
    </dataValidation>
  </dataValidations>
  <hyperlinks>
    <hyperlink ref="D17" r:id="rId1" xr:uid="{75573B42-3FDE-40A2-A802-D7AFA0C25147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58A85A-08B0-4E54-AF19-B5341C27A1DA}">
          <x14:formula1>
            <xm:f>'IPC Values'!$B$3:$B$219</xm:f>
          </x14:formula1>
          <xm:sqref>D13</xm:sqref>
        </x14:dataValidation>
        <x14:dataValidation type="list" allowBlank="1" showInputMessage="1" showErrorMessage="1" xr:uid="{060E76D1-B2AD-452B-833B-F347850313C7}">
          <x14:formula1>
            <xm:f>'IPC Values'!$O$3:$O$11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98D-F2AC-4C2C-B497-E633891A6EC1}">
  <sheetPr codeName="Sheet1"/>
  <dimension ref="B9:X39"/>
  <sheetViews>
    <sheetView showGridLines="0" tabSelected="1" zoomScale="110" zoomScaleNormal="110" workbookViewId="0">
      <selection activeCell="E12" sqref="E12"/>
    </sheetView>
  </sheetViews>
  <sheetFormatPr defaultRowHeight="15" x14ac:dyDescent="0.25"/>
  <cols>
    <col min="2" max="2" width="8.5703125" customWidth="1"/>
    <col min="3" max="3" width="17.7109375" customWidth="1"/>
    <col min="4" max="4" width="9.140625" bestFit="1" customWidth="1"/>
    <col min="5" max="5" width="12" customWidth="1"/>
    <col min="6" max="6" width="10.85546875" customWidth="1"/>
    <col min="12" max="13" width="11.5703125" customWidth="1"/>
    <col min="14" max="14" width="15.42578125" bestFit="1" customWidth="1"/>
    <col min="15" max="15" width="15.7109375" bestFit="1" customWidth="1"/>
    <col min="16" max="16" width="22.5703125" hidden="1" customWidth="1"/>
    <col min="17" max="17" width="18.5703125" hidden="1" customWidth="1"/>
    <col min="18" max="18" width="13" hidden="1" customWidth="1"/>
    <col min="19" max="19" width="15.7109375" hidden="1" customWidth="1"/>
    <col min="20" max="20" width="12.7109375" hidden="1" customWidth="1"/>
    <col min="21" max="21" width="18.5703125" hidden="1" customWidth="1"/>
    <col min="22" max="22" width="13.140625" hidden="1" customWidth="1"/>
    <col min="23" max="23" width="32.7109375" hidden="1" customWidth="1"/>
    <col min="24" max="24" width="33.85546875" hidden="1" customWidth="1"/>
    <col min="25" max="25" width="33.85546875" bestFit="1" customWidth="1"/>
  </cols>
  <sheetData>
    <row r="9" spans="2:6" x14ac:dyDescent="0.25">
      <c r="B9" s="43" t="s">
        <v>303</v>
      </c>
      <c r="C9" s="44"/>
      <c r="D9" s="44"/>
      <c r="E9" s="44"/>
      <c r="F9" s="45"/>
    </row>
    <row r="10" spans="2:6" x14ac:dyDescent="0.25">
      <c r="B10" s="7"/>
      <c r="C10" s="8"/>
      <c r="D10" s="8"/>
      <c r="E10" s="8"/>
      <c r="F10" s="9"/>
    </row>
    <row r="11" spans="2:6" x14ac:dyDescent="0.25">
      <c r="B11" s="10"/>
      <c r="D11" s="11" t="s">
        <v>321</v>
      </c>
      <c r="E11" s="4">
        <v>4</v>
      </c>
      <c r="F11" s="12" t="s">
        <v>39</v>
      </c>
    </row>
    <row r="12" spans="2:6" x14ac:dyDescent="0.25">
      <c r="B12" s="10"/>
      <c r="D12" s="11" t="str" cm="1">
        <f t="array" ref="D12">_xlfn.IFS(E11=3, " ", E11=4,"Pipe Type",E11=5, " ",E11=6,"Pipe Type",E11=8,"Pipe Type")</f>
        <v>Pipe Type</v>
      </c>
      <c r="E12" s="53" t="s">
        <v>311</v>
      </c>
      <c r="F12" s="12"/>
    </row>
    <row r="13" spans="2:6" x14ac:dyDescent="0.25">
      <c r="B13" s="10"/>
      <c r="D13" s="11" t="s">
        <v>322</v>
      </c>
      <c r="E13" s="53" t="s">
        <v>310</v>
      </c>
      <c r="F13" s="12"/>
    </row>
    <row r="14" spans="2:6" x14ac:dyDescent="0.25">
      <c r="B14" s="10"/>
      <c r="E14" s="49"/>
      <c r="F14" s="12"/>
    </row>
    <row r="15" spans="2:6" x14ac:dyDescent="0.25">
      <c r="B15" s="10"/>
      <c r="D15" s="11" t="s">
        <v>323</v>
      </c>
      <c r="E15" s="54">
        <v>0.1</v>
      </c>
      <c r="F15" s="12" t="s">
        <v>304</v>
      </c>
    </row>
    <row r="16" spans="2:6" x14ac:dyDescent="0.25">
      <c r="B16" s="10"/>
      <c r="D16" s="11" t="s">
        <v>324</v>
      </c>
      <c r="E16" s="54">
        <v>200</v>
      </c>
      <c r="F16" s="12" t="s">
        <v>38</v>
      </c>
    </row>
    <row r="17" spans="2:24" x14ac:dyDescent="0.25">
      <c r="B17" s="10"/>
      <c r="E17" s="49"/>
      <c r="F17" s="12"/>
    </row>
    <row r="18" spans="2:24" x14ac:dyDescent="0.25">
      <c r="B18" s="10"/>
      <c r="D18" s="11" t="s">
        <v>325</v>
      </c>
      <c r="E18" s="54">
        <v>12</v>
      </c>
      <c r="F18" s="12" t="s">
        <v>39</v>
      </c>
    </row>
    <row r="19" spans="2:24" x14ac:dyDescent="0.25">
      <c r="B19" s="10"/>
      <c r="D19" s="13" t="str">
        <f>IF(E13="Yes", "Recommended Trench Width", " ")</f>
        <v xml:space="preserve"> </v>
      </c>
      <c r="E19" s="55" t="str">
        <f>IF(E13="Yes",VLOOKUP(E11,Table1[],8,FALSE)," ")</f>
        <v xml:space="preserve"> </v>
      </c>
      <c r="F19" s="33" t="str">
        <f>IF(E13="Yes","in"," ")</f>
        <v xml:space="preserve"> </v>
      </c>
    </row>
    <row r="20" spans="2:24" x14ac:dyDescent="0.25">
      <c r="B20" s="10"/>
      <c r="D20" s="11" t="s">
        <v>326</v>
      </c>
      <c r="E20" s="56">
        <v>9</v>
      </c>
      <c r="F20" s="12" t="s">
        <v>39</v>
      </c>
      <c r="P20" t="s">
        <v>35</v>
      </c>
      <c r="Q20" t="s">
        <v>43</v>
      </c>
      <c r="R20" t="s">
        <v>45</v>
      </c>
      <c r="S20" t="s">
        <v>46</v>
      </c>
      <c r="T20" t="s">
        <v>49</v>
      </c>
      <c r="U20" t="s">
        <v>31</v>
      </c>
      <c r="V20" t="s">
        <v>36</v>
      </c>
      <c r="W20" t="s">
        <v>37</v>
      </c>
      <c r="X20" t="s">
        <v>40</v>
      </c>
    </row>
    <row r="21" spans="2:24" x14ac:dyDescent="0.25">
      <c r="B21" s="18"/>
      <c r="C21" s="19"/>
      <c r="D21" s="22" t="s">
        <v>332</v>
      </c>
      <c r="E21" s="23">
        <f>VLOOKUP(E11,Table1[],2,FALSE)+VLOOKUP(E11,Table1[],7,FALSE)</f>
        <v>9</v>
      </c>
      <c r="F21" s="24" t="s">
        <v>39</v>
      </c>
      <c r="P21">
        <v>3</v>
      </c>
      <c r="Q21">
        <v>4</v>
      </c>
      <c r="R21">
        <v>1.4999999999999999E-2</v>
      </c>
      <c r="T21">
        <f>PI()*Table1[[#This Row],[Pipe size ]]^2/(144*4)</f>
        <v>4.9087385212340517E-2</v>
      </c>
      <c r="U21">
        <f>Table1[[#This Row],[Area (ft^2)]]/(PI()*Table1[[#This Row],[Pipe size ]]/12)</f>
        <v>6.25E-2</v>
      </c>
      <c r="V21">
        <v>4</v>
      </c>
      <c r="W21">
        <v>20</v>
      </c>
      <c r="X21">
        <f>W21/12^3</f>
        <v>1.1574074074074073E-2</v>
      </c>
    </row>
    <row r="22" spans="2:24" x14ac:dyDescent="0.25">
      <c r="P22">
        <v>4</v>
      </c>
      <c r="Q22">
        <v>5</v>
      </c>
      <c r="R22">
        <v>1.4999999999999999E-2</v>
      </c>
      <c r="S22">
        <v>1.2E-2</v>
      </c>
      <c r="T22">
        <f>PI()*Table1[[#This Row],[Pipe size ]]^2/(144*4)</f>
        <v>8.7266462599716474E-2</v>
      </c>
      <c r="U22">
        <f>Table1[[#This Row],[Area (ft^2)]]/(PI()*Table1[[#This Row],[Pipe size ]]/12)</f>
        <v>8.3333333333333343E-2</v>
      </c>
      <c r="V22">
        <v>4</v>
      </c>
      <c r="W22">
        <v>21</v>
      </c>
      <c r="X22">
        <f t="shared" ref="X22:X25" si="0">W22/12^3</f>
        <v>1.2152777777777778E-2</v>
      </c>
    </row>
    <row r="23" spans="2:24" x14ac:dyDescent="0.25">
      <c r="P23">
        <v>5</v>
      </c>
      <c r="Q23">
        <v>6</v>
      </c>
      <c r="R23">
        <v>1.4999999999999999E-2</v>
      </c>
      <c r="T23">
        <f>PI()*Table1[[#This Row],[Pipe size ]]^2/(144*4)</f>
        <v>0.13635384781205701</v>
      </c>
      <c r="U23">
        <f>Table1[[#This Row],[Area (ft^2)]]/(PI()*Table1[[#This Row],[Pipe size ]]/12)</f>
        <v>0.10416666666666667</v>
      </c>
      <c r="V23">
        <v>4</v>
      </c>
      <c r="W23">
        <v>22</v>
      </c>
      <c r="X23">
        <f t="shared" si="0"/>
        <v>1.2731481481481481E-2</v>
      </c>
    </row>
    <row r="24" spans="2:24" x14ac:dyDescent="0.25">
      <c r="B24" s="25"/>
      <c r="C24" s="26"/>
      <c r="D24" s="27" t="s">
        <v>305</v>
      </c>
      <c r="E24" s="26"/>
      <c r="F24" s="28"/>
      <c r="P24">
        <v>6</v>
      </c>
      <c r="Q24">
        <v>7</v>
      </c>
      <c r="R24">
        <v>1.4999999999999999E-2</v>
      </c>
      <c r="S24">
        <v>1.2E-2</v>
      </c>
      <c r="T24">
        <f>PI()*Table1[[#This Row],[Pipe size ]]^2/(144*4)</f>
        <v>0.19634954084936207</v>
      </c>
      <c r="U24">
        <f>Table1[[#This Row],[Area (ft^2)]]/(PI()*Table1[[#This Row],[Pipe size ]]/12)</f>
        <v>0.125</v>
      </c>
      <c r="V24">
        <v>4</v>
      </c>
      <c r="W24">
        <v>23</v>
      </c>
      <c r="X24">
        <f t="shared" si="0"/>
        <v>1.3310185185185185E-2</v>
      </c>
    </row>
    <row r="25" spans="2:24" x14ac:dyDescent="0.25">
      <c r="B25" s="7"/>
      <c r="F25" s="9"/>
      <c r="P25">
        <v>8</v>
      </c>
      <c r="Q25">
        <v>9</v>
      </c>
      <c r="R25">
        <v>1.6E-2</v>
      </c>
      <c r="S25">
        <v>1.2E-2</v>
      </c>
      <c r="T25">
        <f>PI()*Table1[[#This Row],[Pipe size ]]^2/(144*4)</f>
        <v>0.3490658503988659</v>
      </c>
      <c r="U25">
        <f>Table1[[#This Row],[Area (ft^2)]]/(PI()*Table1[[#This Row],[Pipe size ]]/12)</f>
        <v>0.16666666666666669</v>
      </c>
      <c r="V25">
        <v>4</v>
      </c>
      <c r="W25">
        <v>26</v>
      </c>
      <c r="X25">
        <f t="shared" si="0"/>
        <v>1.5046296296296295E-2</v>
      </c>
    </row>
    <row r="26" spans="2:24" x14ac:dyDescent="0.25">
      <c r="B26" s="10"/>
      <c r="D26" s="11" t="s">
        <v>327</v>
      </c>
      <c r="E26" s="48">
        <f>VLOOKUP(E11,Table1[],7,FALSE)</f>
        <v>4</v>
      </c>
      <c r="F26" s="12" t="s">
        <v>39</v>
      </c>
    </row>
    <row r="27" spans="2:24" x14ac:dyDescent="0.25">
      <c r="B27" s="10"/>
      <c r="D27" s="11" t="s">
        <v>328</v>
      </c>
      <c r="E27" s="48">
        <v>12</v>
      </c>
      <c r="F27" s="12" t="s">
        <v>39</v>
      </c>
    </row>
    <row r="28" spans="2:24" ht="15.75" thickBot="1" x14ac:dyDescent="0.3">
      <c r="B28" s="10"/>
      <c r="E28" s="49"/>
      <c r="F28" s="12"/>
    </row>
    <row r="29" spans="2:24" x14ac:dyDescent="0.25">
      <c r="B29" s="10"/>
      <c r="D29" s="11" t="s">
        <v>329</v>
      </c>
      <c r="E29" s="50">
        <f>(E16*E18/12*E20/12-VLOOKUP(E11,Table1[],9,FALSE)*E16)*1.1</f>
        <v>162.32638888888891</v>
      </c>
      <c r="F29" s="12" t="s">
        <v>41</v>
      </c>
      <c r="P29" s="29" t="s">
        <v>44</v>
      </c>
      <c r="Q29" s="17" cm="1">
        <f t="array" ref="Q29">_xlfn.IFS(OR(E11=3,E11=5),VLOOKUP(E11,Table1[],3,FALSE),E12="Dual Wall",VLOOKUP(E11,Table1[],4,FALSE),OR(E11=4,E11=6,E11=8),VLOOKUP(E11,Table1[],3,FALSE))</f>
        <v>1.4999999999999999E-2</v>
      </c>
    </row>
    <row r="30" spans="2:24" x14ac:dyDescent="0.25">
      <c r="B30" s="10"/>
      <c r="E30" s="49"/>
      <c r="F30" s="12"/>
      <c r="P30" s="5" t="s">
        <v>29</v>
      </c>
      <c r="Q30" s="6">
        <f>VLOOKUP(E11,Table1[],5,FALSE)</f>
        <v>8.7266462599716474E-2</v>
      </c>
    </row>
    <row r="31" spans="2:24" ht="15.75" thickBot="1" x14ac:dyDescent="0.3">
      <c r="B31" s="10"/>
      <c r="D31" s="11" t="s">
        <v>330</v>
      </c>
      <c r="E31" s="50">
        <f>ROUNDUP(E16*((E20*2+E18*2+6)/12)*1.1,-1)</f>
        <v>880</v>
      </c>
      <c r="F31" s="12" t="s">
        <v>42</v>
      </c>
      <c r="P31" s="15" t="s">
        <v>47</v>
      </c>
      <c r="Q31" s="16">
        <f>VLOOKUP(E11,Table1[],6,FALSE)</f>
        <v>8.3333333333333343E-2</v>
      </c>
    </row>
    <row r="32" spans="2:24" x14ac:dyDescent="0.25">
      <c r="B32" s="10"/>
      <c r="E32" s="49"/>
      <c r="F32" s="12"/>
    </row>
    <row r="33" spans="2:6" x14ac:dyDescent="0.25">
      <c r="B33" s="10"/>
      <c r="D33" s="11" t="s">
        <v>331</v>
      </c>
      <c r="E33" s="51">
        <f>1.49/Q29*Q30*Q31^(2/3)*(E15/12)^(1/2)</f>
        <v>0.15097241222548796</v>
      </c>
      <c r="F33" s="12" t="s">
        <v>48</v>
      </c>
    </row>
    <row r="34" spans="2:6" x14ac:dyDescent="0.25">
      <c r="B34" s="18"/>
      <c r="C34" s="19"/>
      <c r="D34" s="30"/>
      <c r="E34" s="52">
        <f>E33*448.8</f>
        <v>67.756418606799002</v>
      </c>
      <c r="F34" s="20" t="s">
        <v>50</v>
      </c>
    </row>
    <row r="36" spans="2:6" ht="15" customHeight="1" x14ac:dyDescent="0.25">
      <c r="B36" s="31" t="s">
        <v>307</v>
      </c>
      <c r="C36" s="47" t="s">
        <v>306</v>
      </c>
      <c r="D36" s="47"/>
      <c r="E36" s="47"/>
      <c r="F36" s="47"/>
    </row>
    <row r="37" spans="2:6" x14ac:dyDescent="0.25">
      <c r="B37" s="32"/>
      <c r="C37" s="47"/>
      <c r="D37" s="47"/>
      <c r="E37" s="47"/>
      <c r="F37" s="47"/>
    </row>
    <row r="38" spans="2:6" x14ac:dyDescent="0.25">
      <c r="B38" s="32"/>
      <c r="C38" s="47"/>
      <c r="D38" s="47"/>
      <c r="E38" s="47"/>
      <c r="F38" s="47"/>
    </row>
    <row r="39" spans="2:6" x14ac:dyDescent="0.25">
      <c r="C39" s="47"/>
      <c r="D39" s="47"/>
      <c r="E39" s="47"/>
      <c r="F39" s="47"/>
    </row>
  </sheetData>
  <sheetProtection algorithmName="SHA-512" hashValue="yLnDceKpzbz7UOIVt5XxI64d3fvwc8ITFU4mGGSc69EAcU1DcBzA8gvFnLmcONHVh8OCnrbgvAeaMh/aKVFElg==" saltValue="ekRwwfPEw44yo+bTbUNjtw==" spinCount="100000" sheet="1" objects="1" scenarios="1" selectLockedCells="1"/>
  <mergeCells count="2">
    <mergeCell ref="B9:F9"/>
    <mergeCell ref="C36:F39"/>
  </mergeCells>
  <conditionalFormatting sqref="E12">
    <cfRule type="expression" dxfId="3" priority="6">
      <formula>OR($E$11=3,$E$11=5)</formula>
    </cfRule>
    <cfRule type="expression" dxfId="2" priority="2">
      <formula>OR($E$11=4,$E$11=6,$E$11=8)</formula>
    </cfRule>
  </conditionalFormatting>
  <conditionalFormatting sqref="D12:F21 D26:F34">
    <cfRule type="expression" dxfId="1" priority="3">
      <formula>ISBLANK($E$11)=TRUE</formula>
    </cfRule>
  </conditionalFormatting>
  <conditionalFormatting sqref="E15:E16 E18 E20 E13 E26 E27 E29 E31 E33 E34">
    <cfRule type="expression" dxfId="0" priority="1">
      <formula>ISBLANK($E$11)=FALSE</formula>
    </cfRule>
  </conditionalFormatting>
  <dataValidations count="3">
    <dataValidation type="list" allowBlank="1" showInputMessage="1" showErrorMessage="1" sqref="E11" xr:uid="{B606463E-E69D-47C4-943F-0AEBB8CC3C5E}">
      <formula1>"3, 4, 5, 6, 8"</formula1>
    </dataValidation>
    <dataValidation type="list" allowBlank="1" showInputMessage="1" showErrorMessage="1" sqref="E13" xr:uid="{F943111F-6D54-4EDA-B098-0171A0C2A0C0}">
      <formula1>"Yes, No"</formula1>
    </dataValidation>
    <dataValidation type="list" allowBlank="1" showInputMessage="1" showErrorMessage="1" sqref="E12" xr:uid="{4009B595-3D3F-490A-9790-A84035022905}">
      <formula1>"Single Wall, Dual Wall"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0A2F-C52E-4D7D-83C5-56E530409B50}">
  <sheetPr codeName="Sheet3"/>
  <dimension ref="B1:Q219"/>
  <sheetViews>
    <sheetView workbookViewId="0">
      <selection activeCell="H21" sqref="H21"/>
    </sheetView>
  </sheetViews>
  <sheetFormatPr defaultRowHeight="15" x14ac:dyDescent="0.25"/>
  <cols>
    <col min="2" max="2" width="31.5703125" bestFit="1" customWidth="1"/>
    <col min="3" max="3" width="22.85546875" bestFit="1" customWidth="1"/>
    <col min="7" max="7" width="14.85546875" customWidth="1"/>
    <col min="8" max="8" width="18.42578125" customWidth="1"/>
    <col min="9" max="9" width="14" customWidth="1"/>
    <col min="10" max="10" width="16.7109375" customWidth="1"/>
    <col min="11" max="11" width="15.5703125" customWidth="1"/>
    <col min="14" max="14" width="11.5703125" bestFit="1" customWidth="1"/>
    <col min="15" max="15" width="14" customWidth="1"/>
    <col min="16" max="16" width="16.7109375" customWidth="1"/>
    <col min="17" max="17" width="15.5703125" customWidth="1"/>
  </cols>
  <sheetData>
    <row r="1" spans="2:17" x14ac:dyDescent="0.25">
      <c r="G1" t="s">
        <v>68</v>
      </c>
      <c r="N1" t="s">
        <v>75</v>
      </c>
    </row>
    <row r="2" spans="2:17" x14ac:dyDescent="0.25">
      <c r="B2" t="s">
        <v>79</v>
      </c>
      <c r="C2" t="s">
        <v>54</v>
      </c>
      <c r="G2" t="s">
        <v>62</v>
      </c>
      <c r="H2" t="s">
        <v>64</v>
      </c>
      <c r="I2" t="s">
        <v>65</v>
      </c>
      <c r="J2" t="s">
        <v>66</v>
      </c>
      <c r="K2" t="s">
        <v>67</v>
      </c>
      <c r="N2" t="s">
        <v>69</v>
      </c>
      <c r="O2" t="s">
        <v>70</v>
      </c>
      <c r="P2" t="s">
        <v>66</v>
      </c>
      <c r="Q2" t="s">
        <v>67</v>
      </c>
    </row>
    <row r="3" spans="2:17" x14ac:dyDescent="0.25">
      <c r="B3" s="2" t="s">
        <v>112</v>
      </c>
      <c r="C3">
        <v>3.8</v>
      </c>
      <c r="G3" t="s">
        <v>55</v>
      </c>
      <c r="H3">
        <v>5</v>
      </c>
      <c r="I3">
        <v>0.25</v>
      </c>
      <c r="J3">
        <v>157</v>
      </c>
      <c r="K3">
        <f>J3*0.002228009</f>
        <v>0.349797413</v>
      </c>
      <c r="N3" t="s">
        <v>14</v>
      </c>
      <c r="O3" t="s">
        <v>71</v>
      </c>
      <c r="P3">
        <v>54</v>
      </c>
      <c r="Q3">
        <f>P3*0.002228009</f>
        <v>0.120312486</v>
      </c>
    </row>
    <row r="4" spans="2:17" x14ac:dyDescent="0.25">
      <c r="B4" s="2" t="s">
        <v>113</v>
      </c>
      <c r="C4">
        <v>3.6</v>
      </c>
      <c r="G4" t="s">
        <v>55</v>
      </c>
      <c r="H4">
        <v>5</v>
      </c>
      <c r="I4">
        <v>0.5</v>
      </c>
      <c r="J4">
        <v>225</v>
      </c>
      <c r="K4">
        <f t="shared" ref="K4:K8" si="0">J4*0.002228009</f>
        <v>0.50130202499999998</v>
      </c>
      <c r="N4" t="s">
        <v>14</v>
      </c>
      <c r="O4" t="s">
        <v>72</v>
      </c>
      <c r="P4">
        <v>54</v>
      </c>
      <c r="Q4">
        <f t="shared" ref="Q4:Q11" si="1">P4*0.002228009</f>
        <v>0.120312486</v>
      </c>
    </row>
    <row r="5" spans="2:17" x14ac:dyDescent="0.25">
      <c r="B5" s="2" t="s">
        <v>114</v>
      </c>
      <c r="C5">
        <v>4.5999999999999996</v>
      </c>
      <c r="G5" t="s">
        <v>55</v>
      </c>
      <c r="H5">
        <v>6</v>
      </c>
      <c r="I5">
        <v>0.25</v>
      </c>
      <c r="J5">
        <v>348</v>
      </c>
      <c r="K5">
        <f t="shared" si="0"/>
        <v>0.77534713199999994</v>
      </c>
      <c r="N5" t="s">
        <v>14</v>
      </c>
      <c r="O5" t="s">
        <v>73</v>
      </c>
      <c r="P5">
        <v>192</v>
      </c>
      <c r="Q5">
        <f t="shared" si="1"/>
        <v>0.42777772800000002</v>
      </c>
    </row>
    <row r="6" spans="2:17" x14ac:dyDescent="0.25">
      <c r="B6" s="2" t="s">
        <v>115</v>
      </c>
      <c r="C6">
        <v>4.2</v>
      </c>
      <c r="G6" t="s">
        <v>55</v>
      </c>
      <c r="H6">
        <v>6</v>
      </c>
      <c r="I6">
        <v>0.5</v>
      </c>
      <c r="J6">
        <v>494</v>
      </c>
      <c r="K6">
        <f t="shared" si="0"/>
        <v>1.100636446</v>
      </c>
      <c r="N6" t="s">
        <v>14</v>
      </c>
      <c r="O6" t="s">
        <v>74</v>
      </c>
      <c r="P6">
        <v>360</v>
      </c>
      <c r="Q6">
        <f t="shared" si="1"/>
        <v>0.80208323999999998</v>
      </c>
    </row>
    <row r="7" spans="2:17" x14ac:dyDescent="0.25">
      <c r="B7" s="2" t="s">
        <v>116</v>
      </c>
      <c r="C7">
        <v>1</v>
      </c>
      <c r="G7" t="s">
        <v>63</v>
      </c>
      <c r="H7">
        <v>5</v>
      </c>
      <c r="I7">
        <v>0.125</v>
      </c>
      <c r="J7">
        <v>74</v>
      </c>
      <c r="K7">
        <f t="shared" si="0"/>
        <v>0.164872666</v>
      </c>
      <c r="N7" t="s">
        <v>15</v>
      </c>
      <c r="O7">
        <v>2</v>
      </c>
      <c r="P7">
        <v>30</v>
      </c>
      <c r="Q7">
        <f t="shared" si="1"/>
        <v>6.6840269999999993E-2</v>
      </c>
    </row>
    <row r="8" spans="2:17" x14ac:dyDescent="0.25">
      <c r="B8" s="2" t="s">
        <v>117</v>
      </c>
      <c r="C8">
        <v>0.6</v>
      </c>
      <c r="G8" t="s">
        <v>63</v>
      </c>
      <c r="H8">
        <v>6</v>
      </c>
      <c r="I8">
        <v>0.125</v>
      </c>
      <c r="J8">
        <v>110</v>
      </c>
      <c r="K8">
        <f t="shared" si="0"/>
        <v>0.24508099</v>
      </c>
      <c r="N8" t="s">
        <v>15</v>
      </c>
      <c r="O8">
        <v>3</v>
      </c>
      <c r="P8">
        <v>92</v>
      </c>
      <c r="Q8">
        <f t="shared" si="1"/>
        <v>0.204976828</v>
      </c>
    </row>
    <row r="9" spans="2:17" x14ac:dyDescent="0.25">
      <c r="B9" s="2" t="s">
        <v>118</v>
      </c>
      <c r="C9">
        <v>2.4</v>
      </c>
      <c r="N9" t="s">
        <v>15</v>
      </c>
      <c r="O9">
        <v>4</v>
      </c>
      <c r="P9">
        <v>192</v>
      </c>
      <c r="Q9">
        <f t="shared" si="1"/>
        <v>0.42777772800000002</v>
      </c>
    </row>
    <row r="10" spans="2:17" x14ac:dyDescent="0.25">
      <c r="B10" s="2" t="s">
        <v>80</v>
      </c>
      <c r="C10">
        <v>3.1</v>
      </c>
      <c r="N10" t="s">
        <v>15</v>
      </c>
      <c r="O10">
        <v>5</v>
      </c>
      <c r="P10">
        <v>360</v>
      </c>
      <c r="Q10">
        <f t="shared" si="1"/>
        <v>0.80208323999999998</v>
      </c>
    </row>
    <row r="11" spans="2:17" x14ac:dyDescent="0.25">
      <c r="B11" s="2" t="s">
        <v>301</v>
      </c>
      <c r="C11">
        <v>2.5</v>
      </c>
      <c r="N11" t="s">
        <v>15</v>
      </c>
      <c r="O11">
        <v>6</v>
      </c>
      <c r="P11">
        <v>563</v>
      </c>
      <c r="Q11">
        <f t="shared" si="1"/>
        <v>1.2543690670000001</v>
      </c>
    </row>
    <row r="12" spans="2:17" x14ac:dyDescent="0.25">
      <c r="B12" s="2" t="s">
        <v>81</v>
      </c>
      <c r="C12">
        <v>1.6</v>
      </c>
    </row>
    <row r="13" spans="2:17" x14ac:dyDescent="0.25">
      <c r="B13" s="2" t="s">
        <v>119</v>
      </c>
      <c r="C13">
        <v>3.6</v>
      </c>
    </row>
    <row r="14" spans="2:17" x14ac:dyDescent="0.25">
      <c r="B14" s="2" t="s">
        <v>82</v>
      </c>
      <c r="C14">
        <v>3.7</v>
      </c>
    </row>
    <row r="15" spans="2:17" x14ac:dyDescent="0.25">
      <c r="B15" s="2" t="s">
        <v>302</v>
      </c>
      <c r="C15">
        <v>3.8</v>
      </c>
    </row>
    <row r="16" spans="2:17" x14ac:dyDescent="0.25">
      <c r="B16" s="2" t="s">
        <v>120</v>
      </c>
      <c r="C16">
        <v>1.4</v>
      </c>
    </row>
    <row r="17" spans="2:3" x14ac:dyDescent="0.25">
      <c r="B17" s="2" t="s">
        <v>121</v>
      </c>
      <c r="C17">
        <v>1.5</v>
      </c>
    </row>
    <row r="18" spans="2:3" x14ac:dyDescent="0.25">
      <c r="B18" s="2" t="s">
        <v>122</v>
      </c>
      <c r="C18">
        <v>1.1000000000000001</v>
      </c>
    </row>
    <row r="19" spans="2:3" x14ac:dyDescent="0.25">
      <c r="B19" s="2" t="s">
        <v>123</v>
      </c>
      <c r="C19">
        <v>2.1</v>
      </c>
    </row>
    <row r="20" spans="2:3" x14ac:dyDescent="0.25">
      <c r="B20" s="2" t="s">
        <v>124</v>
      </c>
      <c r="C20">
        <v>1.6</v>
      </c>
    </row>
    <row r="21" spans="2:3" x14ac:dyDescent="0.25">
      <c r="B21" s="2" t="s">
        <v>125</v>
      </c>
      <c r="C21">
        <v>1.5</v>
      </c>
    </row>
    <row r="22" spans="2:3" x14ac:dyDescent="0.25">
      <c r="B22" s="2" t="s">
        <v>126</v>
      </c>
      <c r="C22">
        <v>2.2999999999999998</v>
      </c>
    </row>
    <row r="23" spans="2:3" x14ac:dyDescent="0.25">
      <c r="B23" s="2" t="s">
        <v>127</v>
      </c>
      <c r="C23">
        <v>1.5</v>
      </c>
    </row>
    <row r="24" spans="2:3" x14ac:dyDescent="0.25">
      <c r="B24" s="2" t="s">
        <v>128</v>
      </c>
      <c r="C24">
        <v>1.4</v>
      </c>
    </row>
    <row r="25" spans="2:3" x14ac:dyDescent="0.25">
      <c r="B25" s="2" t="s">
        <v>129</v>
      </c>
      <c r="C25">
        <v>1.5</v>
      </c>
    </row>
    <row r="26" spans="2:3" x14ac:dyDescent="0.25">
      <c r="B26" s="2" t="s">
        <v>130</v>
      </c>
      <c r="C26">
        <v>2.4</v>
      </c>
    </row>
    <row r="27" spans="2:3" x14ac:dyDescent="0.25">
      <c r="B27" s="2" t="s">
        <v>131</v>
      </c>
      <c r="C27">
        <v>1.8</v>
      </c>
    </row>
    <row r="28" spans="2:3" x14ac:dyDescent="0.25">
      <c r="B28" s="2" t="s">
        <v>132</v>
      </c>
      <c r="C28">
        <v>1.7</v>
      </c>
    </row>
    <row r="29" spans="2:3" x14ac:dyDescent="0.25">
      <c r="B29" s="2" t="s">
        <v>133</v>
      </c>
      <c r="C29">
        <v>3</v>
      </c>
    </row>
    <row r="30" spans="2:3" x14ac:dyDescent="0.25">
      <c r="B30" s="2" t="s">
        <v>134</v>
      </c>
      <c r="C30">
        <v>2.5</v>
      </c>
    </row>
    <row r="31" spans="2:3" x14ac:dyDescent="0.25">
      <c r="B31" s="2" t="s">
        <v>135</v>
      </c>
      <c r="C31">
        <v>2.7</v>
      </c>
    </row>
    <row r="32" spans="2:3" x14ac:dyDescent="0.25">
      <c r="B32" s="2" t="s">
        <v>136</v>
      </c>
      <c r="C32">
        <v>2.8</v>
      </c>
    </row>
    <row r="33" spans="2:3" x14ac:dyDescent="0.25">
      <c r="B33" s="2" t="s">
        <v>137</v>
      </c>
      <c r="C33">
        <v>2.6</v>
      </c>
    </row>
    <row r="34" spans="2:3" x14ac:dyDescent="0.25">
      <c r="B34" s="2" t="s">
        <v>138</v>
      </c>
      <c r="C34">
        <v>3</v>
      </c>
    </row>
    <row r="35" spans="2:3" x14ac:dyDescent="0.25">
      <c r="B35" s="2" t="s">
        <v>139</v>
      </c>
      <c r="C35">
        <v>3.1</v>
      </c>
    </row>
    <row r="36" spans="2:3" x14ac:dyDescent="0.25">
      <c r="B36" s="2" t="s">
        <v>140</v>
      </c>
      <c r="C36">
        <v>3.2</v>
      </c>
    </row>
    <row r="37" spans="2:3" x14ac:dyDescent="0.25">
      <c r="B37" s="2" t="s">
        <v>141</v>
      </c>
      <c r="C37">
        <v>4.3</v>
      </c>
    </row>
    <row r="38" spans="2:3" x14ac:dyDescent="0.25">
      <c r="B38" s="2" t="s">
        <v>142</v>
      </c>
      <c r="C38">
        <v>4.3</v>
      </c>
    </row>
    <row r="39" spans="2:3" x14ac:dyDescent="0.25">
      <c r="B39" s="2" t="s">
        <v>143</v>
      </c>
      <c r="C39">
        <v>4.7</v>
      </c>
    </row>
    <row r="40" spans="2:3" x14ac:dyDescent="0.25">
      <c r="B40" s="2" t="s">
        <v>144</v>
      </c>
      <c r="C40">
        <v>4.5999999999999996</v>
      </c>
    </row>
    <row r="41" spans="2:3" x14ac:dyDescent="0.25">
      <c r="B41" s="2" t="s">
        <v>145</v>
      </c>
      <c r="C41">
        <v>4.5</v>
      </c>
    </row>
    <row r="42" spans="2:3" x14ac:dyDescent="0.25">
      <c r="B42" s="2" t="s">
        <v>146</v>
      </c>
      <c r="C42">
        <v>3.7</v>
      </c>
    </row>
    <row r="43" spans="2:3" x14ac:dyDescent="0.25">
      <c r="B43" s="2" t="s">
        <v>147</v>
      </c>
      <c r="C43">
        <v>3.4</v>
      </c>
    </row>
    <row r="44" spans="2:3" x14ac:dyDescent="0.25">
      <c r="B44" s="2" t="s">
        <v>148</v>
      </c>
      <c r="C44">
        <v>3.9</v>
      </c>
    </row>
    <row r="45" spans="2:3" x14ac:dyDescent="0.25">
      <c r="B45" s="2" t="s">
        <v>149</v>
      </c>
      <c r="C45">
        <v>4.3</v>
      </c>
    </row>
    <row r="46" spans="2:3" x14ac:dyDescent="0.25">
      <c r="B46" s="2" t="s">
        <v>150</v>
      </c>
      <c r="C46">
        <v>4.3</v>
      </c>
    </row>
    <row r="47" spans="2:3" x14ac:dyDescent="0.25">
      <c r="B47" s="2" t="s">
        <v>151</v>
      </c>
      <c r="C47">
        <v>6.2</v>
      </c>
    </row>
    <row r="48" spans="2:3" x14ac:dyDescent="0.25">
      <c r="B48" s="2" t="s">
        <v>152</v>
      </c>
      <c r="C48">
        <v>3</v>
      </c>
    </row>
    <row r="49" spans="2:3" x14ac:dyDescent="0.25">
      <c r="B49" s="2" t="s">
        <v>153</v>
      </c>
      <c r="C49">
        <v>3</v>
      </c>
    </row>
    <row r="50" spans="2:3" x14ac:dyDescent="0.25">
      <c r="B50" s="2" t="s">
        <v>154</v>
      </c>
      <c r="C50">
        <v>0.6</v>
      </c>
    </row>
    <row r="51" spans="2:3" x14ac:dyDescent="0.25">
      <c r="B51" s="2" t="s">
        <v>155</v>
      </c>
      <c r="C51">
        <v>1.1000000000000001</v>
      </c>
    </row>
    <row r="52" spans="2:3" x14ac:dyDescent="0.25">
      <c r="B52" s="2" t="s">
        <v>156</v>
      </c>
      <c r="C52">
        <v>1.2</v>
      </c>
    </row>
    <row r="53" spans="2:3" x14ac:dyDescent="0.25">
      <c r="B53" s="2" t="s">
        <v>157</v>
      </c>
      <c r="C53">
        <v>3.3</v>
      </c>
    </row>
    <row r="54" spans="2:3" x14ac:dyDescent="0.25">
      <c r="B54" s="2" t="s">
        <v>158</v>
      </c>
      <c r="C54">
        <v>3</v>
      </c>
    </row>
    <row r="55" spans="2:3" x14ac:dyDescent="0.25">
      <c r="B55" s="2" t="s">
        <v>159</v>
      </c>
      <c r="C55">
        <v>3.3</v>
      </c>
    </row>
    <row r="56" spans="2:3" x14ac:dyDescent="0.25">
      <c r="B56" s="2" t="s">
        <v>160</v>
      </c>
      <c r="C56">
        <v>3.2</v>
      </c>
    </row>
    <row r="57" spans="2:3" x14ac:dyDescent="0.25">
      <c r="B57" s="2" t="s">
        <v>161</v>
      </c>
      <c r="C57">
        <v>3.3</v>
      </c>
    </row>
    <row r="58" spans="2:3" x14ac:dyDescent="0.25">
      <c r="B58" s="2" t="s">
        <v>162</v>
      </c>
      <c r="C58">
        <v>3.2</v>
      </c>
    </row>
    <row r="59" spans="2:3" x14ac:dyDescent="0.25">
      <c r="B59" s="2" t="s">
        <v>163</v>
      </c>
      <c r="C59">
        <v>2.9</v>
      </c>
    </row>
    <row r="60" spans="2:3" x14ac:dyDescent="0.25">
      <c r="B60" s="2" t="s">
        <v>164</v>
      </c>
      <c r="C60">
        <v>3.1</v>
      </c>
    </row>
    <row r="61" spans="2:3" x14ac:dyDescent="0.25">
      <c r="B61" s="2" t="s">
        <v>83</v>
      </c>
      <c r="C61">
        <v>3.3</v>
      </c>
    </row>
    <row r="62" spans="2:3" x14ac:dyDescent="0.25">
      <c r="B62" s="2" t="s">
        <v>84</v>
      </c>
      <c r="C62">
        <v>3.4</v>
      </c>
    </row>
    <row r="63" spans="2:3" x14ac:dyDescent="0.25">
      <c r="B63" s="2" t="s">
        <v>85</v>
      </c>
      <c r="C63">
        <v>3.3</v>
      </c>
    </row>
    <row r="64" spans="2:3" x14ac:dyDescent="0.25">
      <c r="B64" s="2" t="s">
        <v>86</v>
      </c>
      <c r="C64">
        <v>3.6</v>
      </c>
    </row>
    <row r="65" spans="2:3" x14ac:dyDescent="0.25">
      <c r="B65" s="2" t="s">
        <v>87</v>
      </c>
      <c r="C65">
        <v>3.3</v>
      </c>
    </row>
    <row r="66" spans="2:3" x14ac:dyDescent="0.25">
      <c r="B66" s="2" t="s">
        <v>88</v>
      </c>
      <c r="C66">
        <v>3.3</v>
      </c>
    </row>
    <row r="67" spans="2:3" x14ac:dyDescent="0.25">
      <c r="B67" s="2" t="s">
        <v>89</v>
      </c>
      <c r="C67">
        <v>3.7</v>
      </c>
    </row>
    <row r="68" spans="2:3" x14ac:dyDescent="0.25">
      <c r="B68" s="2" t="s">
        <v>90</v>
      </c>
      <c r="C68">
        <v>3.7</v>
      </c>
    </row>
    <row r="69" spans="2:3" x14ac:dyDescent="0.25">
      <c r="B69" s="2" t="s">
        <v>91</v>
      </c>
      <c r="C69">
        <v>3</v>
      </c>
    </row>
    <row r="70" spans="2:3" x14ac:dyDescent="0.25">
      <c r="B70" s="2" t="s">
        <v>92</v>
      </c>
      <c r="C70">
        <v>3.1</v>
      </c>
    </row>
    <row r="71" spans="2:3" x14ac:dyDescent="0.25">
      <c r="B71" s="2" t="s">
        <v>93</v>
      </c>
      <c r="C71">
        <v>3.2</v>
      </c>
    </row>
    <row r="72" spans="2:3" x14ac:dyDescent="0.25">
      <c r="B72" s="2" t="s">
        <v>94</v>
      </c>
      <c r="C72">
        <v>3.2</v>
      </c>
    </row>
    <row r="73" spans="2:3" x14ac:dyDescent="0.25">
      <c r="B73" s="2" t="s">
        <v>95</v>
      </c>
      <c r="C73">
        <v>3.3</v>
      </c>
    </row>
    <row r="74" spans="2:3" x14ac:dyDescent="0.25">
      <c r="B74" s="2" t="s">
        <v>96</v>
      </c>
      <c r="C74">
        <v>4.2</v>
      </c>
    </row>
    <row r="75" spans="2:3" x14ac:dyDescent="0.25">
      <c r="B75" s="2" t="s">
        <v>97</v>
      </c>
      <c r="C75">
        <v>4</v>
      </c>
    </row>
    <row r="76" spans="2:3" x14ac:dyDescent="0.25">
      <c r="B76" s="2" t="s">
        <v>98</v>
      </c>
      <c r="C76">
        <v>4.8</v>
      </c>
    </row>
    <row r="77" spans="2:3" x14ac:dyDescent="0.25">
      <c r="B77" s="2" t="s">
        <v>99</v>
      </c>
      <c r="C77">
        <v>3.9</v>
      </c>
    </row>
    <row r="78" spans="2:3" x14ac:dyDescent="0.25">
      <c r="B78" s="2" t="s">
        <v>100</v>
      </c>
      <c r="C78">
        <v>2.2000000000000002</v>
      </c>
    </row>
    <row r="79" spans="2:3" x14ac:dyDescent="0.25">
      <c r="B79" s="2" t="s">
        <v>101</v>
      </c>
      <c r="C79">
        <v>2.1</v>
      </c>
    </row>
    <row r="80" spans="2:3" x14ac:dyDescent="0.25">
      <c r="B80" s="2" t="s">
        <v>102</v>
      </c>
      <c r="C80">
        <v>2.4</v>
      </c>
    </row>
    <row r="81" spans="2:3" x14ac:dyDescent="0.25">
      <c r="B81" s="2" t="s">
        <v>103</v>
      </c>
      <c r="C81">
        <v>3.2</v>
      </c>
    </row>
    <row r="82" spans="2:3" x14ac:dyDescent="0.25">
      <c r="B82" s="2" t="s">
        <v>104</v>
      </c>
      <c r="C82">
        <v>2.8</v>
      </c>
    </row>
    <row r="83" spans="2:3" x14ac:dyDescent="0.25">
      <c r="B83" s="2" t="s">
        <v>105</v>
      </c>
      <c r="C83">
        <v>2.7</v>
      </c>
    </row>
    <row r="84" spans="2:3" x14ac:dyDescent="0.25">
      <c r="B84" s="2" t="s">
        <v>106</v>
      </c>
      <c r="C84">
        <v>3.1</v>
      </c>
    </row>
    <row r="85" spans="2:3" x14ac:dyDescent="0.25">
      <c r="B85" s="2" t="s">
        <v>107</v>
      </c>
      <c r="C85">
        <v>2.5</v>
      </c>
    </row>
    <row r="86" spans="2:3" x14ac:dyDescent="0.25">
      <c r="B86" s="2" t="s">
        <v>108</v>
      </c>
      <c r="C86">
        <v>2.8</v>
      </c>
    </row>
    <row r="87" spans="2:3" x14ac:dyDescent="0.25">
      <c r="B87" s="2" t="s">
        <v>109</v>
      </c>
      <c r="C87">
        <v>2.7</v>
      </c>
    </row>
    <row r="88" spans="2:3" x14ac:dyDescent="0.25">
      <c r="B88" s="2" t="s">
        <v>110</v>
      </c>
      <c r="C88">
        <v>2.5</v>
      </c>
    </row>
    <row r="89" spans="2:3" x14ac:dyDescent="0.25">
      <c r="B89" s="2" t="s">
        <v>111</v>
      </c>
      <c r="C89">
        <v>2.7</v>
      </c>
    </row>
    <row r="90" spans="2:3" x14ac:dyDescent="0.25">
      <c r="B90" s="2" t="s">
        <v>165</v>
      </c>
      <c r="C90">
        <v>2.6</v>
      </c>
    </row>
    <row r="91" spans="2:3" x14ac:dyDescent="0.25">
      <c r="B91" s="2" t="s">
        <v>166</v>
      </c>
      <c r="C91">
        <v>2.8</v>
      </c>
    </row>
    <row r="92" spans="2:3" x14ac:dyDescent="0.25">
      <c r="B92" s="2" t="s">
        <v>167</v>
      </c>
      <c r="C92">
        <v>2.4</v>
      </c>
    </row>
    <row r="93" spans="2:3" x14ac:dyDescent="0.25">
      <c r="B93" s="2" t="s">
        <v>168</v>
      </c>
      <c r="C93">
        <v>2.2000000000000002</v>
      </c>
    </row>
    <row r="94" spans="2:3" x14ac:dyDescent="0.25">
      <c r="B94" s="2" t="s">
        <v>169</v>
      </c>
      <c r="C94">
        <v>2.8</v>
      </c>
    </row>
    <row r="95" spans="2:3" x14ac:dyDescent="0.25">
      <c r="B95" s="2" t="s">
        <v>170</v>
      </c>
      <c r="C95">
        <v>2.2999999999999998</v>
      </c>
    </row>
    <row r="96" spans="2:3" x14ac:dyDescent="0.25">
      <c r="B96" s="2" t="s">
        <v>171</v>
      </c>
      <c r="C96">
        <v>3.1</v>
      </c>
    </row>
    <row r="97" spans="2:3" x14ac:dyDescent="0.25">
      <c r="B97" s="2" t="s">
        <v>172</v>
      </c>
      <c r="C97">
        <v>3.2</v>
      </c>
    </row>
    <row r="98" spans="2:3" x14ac:dyDescent="0.25">
      <c r="B98" s="2" t="s">
        <v>173</v>
      </c>
      <c r="C98">
        <v>3.5</v>
      </c>
    </row>
    <row r="99" spans="2:3" x14ac:dyDescent="0.25">
      <c r="B99" s="2" t="s">
        <v>174</v>
      </c>
      <c r="C99">
        <v>4.7</v>
      </c>
    </row>
    <row r="100" spans="2:3" x14ac:dyDescent="0.25">
      <c r="B100" s="2" t="s">
        <v>175</v>
      </c>
      <c r="C100">
        <v>3.9</v>
      </c>
    </row>
    <row r="101" spans="2:3" x14ac:dyDescent="0.25">
      <c r="B101" s="2" t="s">
        <v>176</v>
      </c>
      <c r="C101">
        <v>3.6</v>
      </c>
    </row>
    <row r="102" spans="2:3" x14ac:dyDescent="0.25">
      <c r="B102" s="2" t="s">
        <v>177</v>
      </c>
      <c r="C102">
        <v>4.4000000000000004</v>
      </c>
    </row>
    <row r="103" spans="2:3" x14ac:dyDescent="0.25">
      <c r="B103" s="2" t="s">
        <v>178</v>
      </c>
      <c r="C103">
        <v>4.0999999999999996</v>
      </c>
    </row>
    <row r="104" spans="2:3" x14ac:dyDescent="0.25">
      <c r="B104" s="2" t="s">
        <v>179</v>
      </c>
      <c r="C104">
        <v>3.2</v>
      </c>
    </row>
    <row r="105" spans="2:3" x14ac:dyDescent="0.25">
      <c r="B105" s="2" t="s">
        <v>180</v>
      </c>
      <c r="C105">
        <v>3.6</v>
      </c>
    </row>
    <row r="106" spans="2:3" x14ac:dyDescent="0.25">
      <c r="B106" s="2" t="s">
        <v>181</v>
      </c>
      <c r="C106">
        <v>3.4</v>
      </c>
    </row>
    <row r="107" spans="2:3" x14ac:dyDescent="0.25">
      <c r="B107" s="2" t="s">
        <v>182</v>
      </c>
      <c r="C107">
        <v>3.2</v>
      </c>
    </row>
    <row r="108" spans="2:3" x14ac:dyDescent="0.25">
      <c r="B108" s="2" t="s">
        <v>183</v>
      </c>
      <c r="C108">
        <v>2.5</v>
      </c>
    </row>
    <row r="109" spans="2:3" x14ac:dyDescent="0.25">
      <c r="B109" s="2" t="s">
        <v>184</v>
      </c>
      <c r="C109">
        <v>1.6</v>
      </c>
    </row>
    <row r="110" spans="2:3" x14ac:dyDescent="0.25">
      <c r="B110" s="2" t="s">
        <v>185</v>
      </c>
      <c r="C110">
        <v>1.5</v>
      </c>
    </row>
    <row r="111" spans="2:3" x14ac:dyDescent="0.25">
      <c r="B111" s="2" t="s">
        <v>186</v>
      </c>
      <c r="C111">
        <v>1.2</v>
      </c>
    </row>
    <row r="112" spans="2:3" x14ac:dyDescent="0.25">
      <c r="B112" s="2" t="s">
        <v>187</v>
      </c>
      <c r="C112">
        <v>1.3</v>
      </c>
    </row>
    <row r="113" spans="2:3" x14ac:dyDescent="0.25">
      <c r="B113" s="2" t="s">
        <v>188</v>
      </c>
      <c r="C113">
        <v>3.3</v>
      </c>
    </row>
    <row r="114" spans="2:3" x14ac:dyDescent="0.25">
      <c r="B114" s="2" t="s">
        <v>189</v>
      </c>
      <c r="C114">
        <v>3.8</v>
      </c>
    </row>
    <row r="115" spans="2:3" x14ac:dyDescent="0.25">
      <c r="B115" s="2" t="s">
        <v>190</v>
      </c>
      <c r="C115">
        <v>3.1</v>
      </c>
    </row>
    <row r="116" spans="2:3" x14ac:dyDescent="0.25">
      <c r="B116" s="2" t="s">
        <v>191</v>
      </c>
      <c r="C116">
        <v>3.2</v>
      </c>
    </row>
    <row r="117" spans="2:3" x14ac:dyDescent="0.25">
      <c r="B117" s="2" t="s">
        <v>192</v>
      </c>
      <c r="C117">
        <v>1</v>
      </c>
    </row>
    <row r="118" spans="2:3" x14ac:dyDescent="0.25">
      <c r="B118" s="2" t="s">
        <v>193</v>
      </c>
      <c r="C118">
        <v>1.1000000000000001</v>
      </c>
    </row>
    <row r="119" spans="2:3" x14ac:dyDescent="0.25">
      <c r="B119" s="2" t="s">
        <v>194</v>
      </c>
      <c r="C119">
        <v>1.4</v>
      </c>
    </row>
    <row r="120" spans="2:3" x14ac:dyDescent="0.25">
      <c r="B120" s="2" t="s">
        <v>195</v>
      </c>
      <c r="C120">
        <v>1.1000000000000001</v>
      </c>
    </row>
    <row r="121" spans="2:3" x14ac:dyDescent="0.25">
      <c r="B121" s="2" t="s">
        <v>196</v>
      </c>
      <c r="C121">
        <v>2.5</v>
      </c>
    </row>
    <row r="122" spans="2:3" x14ac:dyDescent="0.25">
      <c r="B122" s="2" t="s">
        <v>197</v>
      </c>
      <c r="C122">
        <v>2.5</v>
      </c>
    </row>
    <row r="123" spans="2:3" x14ac:dyDescent="0.25">
      <c r="B123" s="2" t="s">
        <v>198</v>
      </c>
      <c r="C123">
        <v>2.4</v>
      </c>
    </row>
    <row r="124" spans="2:3" x14ac:dyDescent="0.25">
      <c r="B124" s="2" t="s">
        <v>199</v>
      </c>
      <c r="C124">
        <v>2.9</v>
      </c>
    </row>
    <row r="125" spans="2:3" x14ac:dyDescent="0.25">
      <c r="B125" s="2" t="s">
        <v>200</v>
      </c>
      <c r="C125">
        <v>3.1</v>
      </c>
    </row>
    <row r="126" spans="2:3" x14ac:dyDescent="0.25">
      <c r="B126" s="2" t="s">
        <v>201</v>
      </c>
      <c r="C126">
        <v>3.1</v>
      </c>
    </row>
    <row r="127" spans="2:3" x14ac:dyDescent="0.25">
      <c r="B127" s="2" t="s">
        <v>202</v>
      </c>
      <c r="C127">
        <v>2</v>
      </c>
    </row>
    <row r="128" spans="2:3" x14ac:dyDescent="0.25">
      <c r="B128" s="2" t="s">
        <v>203</v>
      </c>
      <c r="C128">
        <v>3</v>
      </c>
    </row>
    <row r="129" spans="2:3" x14ac:dyDescent="0.25">
      <c r="B129" s="2" t="s">
        <v>204</v>
      </c>
      <c r="C129">
        <v>2.5</v>
      </c>
    </row>
    <row r="130" spans="2:3" x14ac:dyDescent="0.25">
      <c r="B130" s="2" t="s">
        <v>205</v>
      </c>
      <c r="C130">
        <v>2.6</v>
      </c>
    </row>
    <row r="131" spans="2:3" x14ac:dyDescent="0.25">
      <c r="B131" s="2" t="s">
        <v>206</v>
      </c>
      <c r="C131">
        <v>1.9</v>
      </c>
    </row>
    <row r="132" spans="2:3" x14ac:dyDescent="0.25">
      <c r="B132" s="2" t="s">
        <v>207</v>
      </c>
      <c r="C132">
        <v>2.5</v>
      </c>
    </row>
    <row r="133" spans="2:3" x14ac:dyDescent="0.25">
      <c r="B133" s="2" t="s">
        <v>208</v>
      </c>
      <c r="C133">
        <v>2.2999999999999998</v>
      </c>
    </row>
    <row r="134" spans="2:3" x14ac:dyDescent="0.25">
      <c r="B134" s="2" t="s">
        <v>209</v>
      </c>
      <c r="C134">
        <v>2.2999999999999998</v>
      </c>
    </row>
    <row r="135" spans="2:3" x14ac:dyDescent="0.25">
      <c r="B135" s="2" t="s">
        <v>210</v>
      </c>
      <c r="C135">
        <v>2.7</v>
      </c>
    </row>
    <row r="136" spans="2:3" x14ac:dyDescent="0.25">
      <c r="B136" s="2" t="s">
        <v>211</v>
      </c>
      <c r="C136">
        <v>3</v>
      </c>
    </row>
    <row r="137" spans="2:3" x14ac:dyDescent="0.25">
      <c r="B137" s="2" t="s">
        <v>212</v>
      </c>
      <c r="C137">
        <v>2.2000000000000002</v>
      </c>
    </row>
    <row r="138" spans="2:3" x14ac:dyDescent="0.25">
      <c r="B138" s="2" t="s">
        <v>213</v>
      </c>
      <c r="C138">
        <v>4.0999999999999996</v>
      </c>
    </row>
    <row r="139" spans="2:3" x14ac:dyDescent="0.25">
      <c r="B139" s="2" t="s">
        <v>214</v>
      </c>
      <c r="C139">
        <v>3.7</v>
      </c>
    </row>
    <row r="140" spans="2:3" x14ac:dyDescent="0.25">
      <c r="B140" s="2" t="s">
        <v>215</v>
      </c>
      <c r="C140">
        <v>3.4</v>
      </c>
    </row>
    <row r="141" spans="2:3" x14ac:dyDescent="0.25">
      <c r="B141" s="2" t="s">
        <v>216</v>
      </c>
      <c r="C141">
        <v>4.2</v>
      </c>
    </row>
    <row r="142" spans="2:3" x14ac:dyDescent="0.25">
      <c r="B142" s="2" t="s">
        <v>217</v>
      </c>
      <c r="C142">
        <v>2.8</v>
      </c>
    </row>
    <row r="143" spans="2:3" x14ac:dyDescent="0.25">
      <c r="B143" s="2" t="s">
        <v>218</v>
      </c>
      <c r="C143">
        <v>2.9</v>
      </c>
    </row>
    <row r="144" spans="2:3" x14ac:dyDescent="0.25">
      <c r="B144" s="2" t="s">
        <v>219</v>
      </c>
      <c r="C144">
        <v>3.1</v>
      </c>
    </row>
    <row r="145" spans="2:3" x14ac:dyDescent="0.25">
      <c r="B145" s="2" t="s">
        <v>220</v>
      </c>
      <c r="C145">
        <v>2.6</v>
      </c>
    </row>
    <row r="146" spans="2:3" x14ac:dyDescent="0.25">
      <c r="B146" s="2" t="s">
        <v>221</v>
      </c>
      <c r="C146">
        <v>2.9</v>
      </c>
    </row>
    <row r="147" spans="2:3" x14ac:dyDescent="0.25">
      <c r="B147" s="2" t="s">
        <v>222</v>
      </c>
      <c r="C147">
        <v>2.6</v>
      </c>
    </row>
    <row r="148" spans="2:3" x14ac:dyDescent="0.25">
      <c r="B148" s="2" t="s">
        <v>223</v>
      </c>
      <c r="C148">
        <v>2.8</v>
      </c>
    </row>
    <row r="149" spans="2:3" x14ac:dyDescent="0.25">
      <c r="B149" s="2" t="s">
        <v>224</v>
      </c>
      <c r="C149">
        <v>2.8</v>
      </c>
    </row>
    <row r="150" spans="2:3" x14ac:dyDescent="0.25">
      <c r="B150" s="2" t="s">
        <v>225</v>
      </c>
      <c r="C150">
        <v>3.7</v>
      </c>
    </row>
    <row r="151" spans="2:3" x14ac:dyDescent="0.25">
      <c r="B151" s="2" t="s">
        <v>226</v>
      </c>
      <c r="C151">
        <v>3.3</v>
      </c>
    </row>
    <row r="152" spans="2:3" x14ac:dyDescent="0.25">
      <c r="B152" s="2" t="s">
        <v>227</v>
      </c>
      <c r="C152">
        <v>3.8</v>
      </c>
    </row>
    <row r="153" spans="2:3" x14ac:dyDescent="0.25">
      <c r="B153" s="2" t="s">
        <v>228</v>
      </c>
      <c r="C153">
        <v>3.8</v>
      </c>
    </row>
    <row r="154" spans="2:3" x14ac:dyDescent="0.25">
      <c r="B154" s="2" t="s">
        <v>229</v>
      </c>
      <c r="C154">
        <v>0.9</v>
      </c>
    </row>
    <row r="155" spans="2:3" x14ac:dyDescent="0.25">
      <c r="B155" s="2" t="s">
        <v>230</v>
      </c>
      <c r="C155">
        <v>1.5</v>
      </c>
    </row>
    <row r="156" spans="2:3" x14ac:dyDescent="0.25">
      <c r="B156" s="2" t="s">
        <v>231</v>
      </c>
      <c r="C156">
        <v>1.3</v>
      </c>
    </row>
    <row r="157" spans="2:3" x14ac:dyDescent="0.25">
      <c r="B157" s="2" t="s">
        <v>232</v>
      </c>
      <c r="C157">
        <v>1.2</v>
      </c>
    </row>
    <row r="158" spans="2:3" x14ac:dyDescent="0.25">
      <c r="B158" s="2" t="s">
        <v>233</v>
      </c>
      <c r="C158">
        <v>2.6</v>
      </c>
    </row>
    <row r="159" spans="2:3" x14ac:dyDescent="0.25">
      <c r="B159" s="2" t="s">
        <v>234</v>
      </c>
      <c r="C159">
        <v>2.8</v>
      </c>
    </row>
    <row r="160" spans="2:3" x14ac:dyDescent="0.25">
      <c r="B160" s="2" t="s">
        <v>235</v>
      </c>
      <c r="C160">
        <v>3.1</v>
      </c>
    </row>
    <row r="161" spans="2:3" x14ac:dyDescent="0.25">
      <c r="B161" s="2" t="s">
        <v>236</v>
      </c>
      <c r="C161">
        <v>2.6</v>
      </c>
    </row>
    <row r="162" spans="2:3" x14ac:dyDescent="0.25">
      <c r="B162" s="2" t="s">
        <v>237</v>
      </c>
      <c r="C162">
        <v>2.7</v>
      </c>
    </row>
    <row r="163" spans="2:3" x14ac:dyDescent="0.25">
      <c r="B163" s="2" t="s">
        <v>238</v>
      </c>
      <c r="C163">
        <v>2.75</v>
      </c>
    </row>
    <row r="164" spans="2:3" x14ac:dyDescent="0.25">
      <c r="B164" s="2" t="s">
        <v>239</v>
      </c>
      <c r="C164">
        <v>2.6</v>
      </c>
    </row>
    <row r="165" spans="2:3" x14ac:dyDescent="0.25">
      <c r="B165" s="2" t="s">
        <v>240</v>
      </c>
      <c r="C165">
        <v>4.3</v>
      </c>
    </row>
    <row r="166" spans="2:3" x14ac:dyDescent="0.25">
      <c r="B166" s="2" t="s">
        <v>241</v>
      </c>
      <c r="C166">
        <v>4</v>
      </c>
    </row>
    <row r="167" spans="2:3" x14ac:dyDescent="0.25">
      <c r="B167" s="2" t="s">
        <v>242</v>
      </c>
      <c r="C167">
        <v>4.0999999999999996</v>
      </c>
    </row>
    <row r="168" spans="2:3" x14ac:dyDescent="0.25">
      <c r="B168" s="2" t="s">
        <v>243</v>
      </c>
      <c r="C168">
        <v>2.8</v>
      </c>
    </row>
    <row r="169" spans="2:3" x14ac:dyDescent="0.25">
      <c r="B169" s="2" t="s">
        <v>244</v>
      </c>
      <c r="C169">
        <v>3.3</v>
      </c>
    </row>
    <row r="170" spans="2:3" x14ac:dyDescent="0.25">
      <c r="B170" s="2" t="s">
        <v>245</v>
      </c>
      <c r="C170">
        <v>3.1</v>
      </c>
    </row>
    <row r="171" spans="2:3" x14ac:dyDescent="0.25">
      <c r="B171" s="2" t="s">
        <v>246</v>
      </c>
      <c r="C171">
        <v>2.9</v>
      </c>
    </row>
    <row r="172" spans="2:3" x14ac:dyDescent="0.25">
      <c r="B172" s="2" t="s">
        <v>247</v>
      </c>
      <c r="C172">
        <v>3.6</v>
      </c>
    </row>
    <row r="173" spans="2:3" x14ac:dyDescent="0.25">
      <c r="B173" s="2" t="s">
        <v>248</v>
      </c>
      <c r="C173">
        <v>3.5</v>
      </c>
    </row>
    <row r="174" spans="2:3" x14ac:dyDescent="0.25">
      <c r="B174" s="2" t="s">
        <v>249</v>
      </c>
      <c r="C174">
        <v>3.2</v>
      </c>
    </row>
    <row r="175" spans="2:3" x14ac:dyDescent="0.25">
      <c r="B175" s="2" t="s">
        <v>250</v>
      </c>
      <c r="C175">
        <v>3.7</v>
      </c>
    </row>
    <row r="176" spans="2:3" x14ac:dyDescent="0.25">
      <c r="B176" s="2" t="s">
        <v>251</v>
      </c>
      <c r="C176">
        <v>3.3</v>
      </c>
    </row>
    <row r="177" spans="2:3" x14ac:dyDescent="0.25">
      <c r="B177" s="2" t="s">
        <v>252</v>
      </c>
      <c r="C177">
        <v>3.6</v>
      </c>
    </row>
    <row r="178" spans="2:3" x14ac:dyDescent="0.25">
      <c r="B178" s="2" t="s">
        <v>253</v>
      </c>
      <c r="C178">
        <v>3.5</v>
      </c>
    </row>
    <row r="179" spans="2:3" x14ac:dyDescent="0.25">
      <c r="B179" s="2" t="s">
        <v>254</v>
      </c>
      <c r="C179">
        <v>4.5</v>
      </c>
    </row>
    <row r="180" spans="2:3" x14ac:dyDescent="0.25">
      <c r="B180" s="2" t="s">
        <v>255</v>
      </c>
      <c r="C180">
        <v>4</v>
      </c>
    </row>
    <row r="181" spans="2:3" x14ac:dyDescent="0.25">
      <c r="B181" s="2" t="s">
        <v>256</v>
      </c>
      <c r="C181">
        <v>4</v>
      </c>
    </row>
    <row r="182" spans="2:3" x14ac:dyDescent="0.25">
      <c r="B182" s="2" t="s">
        <v>257</v>
      </c>
      <c r="C182">
        <v>2.2999999999999998</v>
      </c>
    </row>
    <row r="183" spans="2:3" x14ac:dyDescent="0.25">
      <c r="B183" s="2" t="s">
        <v>258</v>
      </c>
      <c r="C183">
        <v>4.5999999999999996</v>
      </c>
    </row>
    <row r="184" spans="2:3" x14ac:dyDescent="0.25">
      <c r="B184" s="2" t="s">
        <v>259</v>
      </c>
      <c r="C184">
        <v>3.3</v>
      </c>
    </row>
    <row r="185" spans="2:3" x14ac:dyDescent="0.25">
      <c r="B185" s="2" t="s">
        <v>260</v>
      </c>
      <c r="C185">
        <v>3.2</v>
      </c>
    </row>
    <row r="186" spans="2:3" x14ac:dyDescent="0.25">
      <c r="B186" s="2" t="s">
        <v>261</v>
      </c>
      <c r="C186">
        <v>3</v>
      </c>
    </row>
    <row r="187" spans="2:3" x14ac:dyDescent="0.25">
      <c r="B187" s="2" t="s">
        <v>262</v>
      </c>
      <c r="C187">
        <v>4.2</v>
      </c>
    </row>
    <row r="188" spans="2:3" x14ac:dyDescent="0.25">
      <c r="B188" s="2" t="s">
        <v>263</v>
      </c>
      <c r="C188">
        <v>1.2</v>
      </c>
    </row>
    <row r="189" spans="2:3" x14ac:dyDescent="0.25">
      <c r="B189" s="2" t="s">
        <v>264</v>
      </c>
      <c r="C189">
        <v>1.3</v>
      </c>
    </row>
    <row r="190" spans="2:3" x14ac:dyDescent="0.25">
      <c r="B190" s="2" t="s">
        <v>265</v>
      </c>
      <c r="C190">
        <v>1.3</v>
      </c>
    </row>
    <row r="191" spans="2:3" x14ac:dyDescent="0.25">
      <c r="B191" s="2" t="s">
        <v>266</v>
      </c>
      <c r="C191">
        <v>1.7</v>
      </c>
    </row>
    <row r="192" spans="2:3" x14ac:dyDescent="0.25">
      <c r="B192" s="2" t="s">
        <v>267</v>
      </c>
      <c r="C192">
        <v>2.2999999999999998</v>
      </c>
    </row>
    <row r="193" spans="2:3" x14ac:dyDescent="0.25">
      <c r="B193" s="2" t="s">
        <v>268</v>
      </c>
      <c r="C193">
        <v>2.7</v>
      </c>
    </row>
    <row r="194" spans="2:3" x14ac:dyDescent="0.25">
      <c r="B194" s="2" t="s">
        <v>269</v>
      </c>
      <c r="C194">
        <v>2.1</v>
      </c>
    </row>
    <row r="195" spans="2:3" x14ac:dyDescent="0.25">
      <c r="B195" s="2" t="s">
        <v>270</v>
      </c>
      <c r="C195">
        <v>2.5</v>
      </c>
    </row>
    <row r="196" spans="2:3" x14ac:dyDescent="0.25">
      <c r="B196" s="2" t="s">
        <v>271</v>
      </c>
      <c r="C196">
        <v>2.7</v>
      </c>
    </row>
    <row r="197" spans="2:3" x14ac:dyDescent="0.25">
      <c r="B197" s="2" t="s">
        <v>272</v>
      </c>
      <c r="C197">
        <v>2.8</v>
      </c>
    </row>
    <row r="198" spans="2:3" x14ac:dyDescent="0.25">
      <c r="B198" s="2" t="s">
        <v>273</v>
      </c>
      <c r="C198">
        <v>3.2</v>
      </c>
    </row>
    <row r="199" spans="2:3" x14ac:dyDescent="0.25">
      <c r="B199" s="2" t="s">
        <v>274</v>
      </c>
      <c r="C199">
        <v>3.4</v>
      </c>
    </row>
    <row r="200" spans="2:3" x14ac:dyDescent="0.25">
      <c r="B200" s="2" t="s">
        <v>275</v>
      </c>
      <c r="C200">
        <v>3.3</v>
      </c>
    </row>
    <row r="201" spans="2:3" x14ac:dyDescent="0.25">
      <c r="B201" s="2" t="s">
        <v>276</v>
      </c>
      <c r="C201">
        <v>1.1000000000000001</v>
      </c>
    </row>
    <row r="202" spans="2:3" x14ac:dyDescent="0.25">
      <c r="B202" s="2" t="s">
        <v>277</v>
      </c>
      <c r="C202">
        <v>1.1000000000000001</v>
      </c>
    </row>
    <row r="203" spans="2:3" x14ac:dyDescent="0.25">
      <c r="B203" s="2" t="s">
        <v>278</v>
      </c>
      <c r="C203">
        <v>1.4</v>
      </c>
    </row>
    <row r="204" spans="2:3" x14ac:dyDescent="0.25">
      <c r="B204" s="2" t="s">
        <v>279</v>
      </c>
      <c r="C204">
        <v>1</v>
      </c>
    </row>
    <row r="205" spans="2:3" x14ac:dyDescent="0.25">
      <c r="B205" s="2" t="s">
        <v>280</v>
      </c>
      <c r="C205">
        <v>1.1000000000000001</v>
      </c>
    </row>
    <row r="206" spans="2:3" x14ac:dyDescent="0.25">
      <c r="B206" s="2" t="s">
        <v>281</v>
      </c>
      <c r="C206">
        <v>2.8</v>
      </c>
    </row>
    <row r="207" spans="2:3" x14ac:dyDescent="0.25">
      <c r="B207" s="2" t="s">
        <v>282</v>
      </c>
      <c r="C207">
        <v>2.7</v>
      </c>
    </row>
    <row r="208" spans="2:3" x14ac:dyDescent="0.25">
      <c r="B208" s="2" t="s">
        <v>283</v>
      </c>
      <c r="C208">
        <v>2.5</v>
      </c>
    </row>
    <row r="209" spans="2:3" x14ac:dyDescent="0.25">
      <c r="B209" s="2" t="s">
        <v>284</v>
      </c>
      <c r="C209">
        <v>2.9</v>
      </c>
    </row>
    <row r="210" spans="2:3" x14ac:dyDescent="0.25">
      <c r="B210" s="2" t="s">
        <v>285</v>
      </c>
      <c r="C210">
        <v>2.6</v>
      </c>
    </row>
    <row r="211" spans="2:3" x14ac:dyDescent="0.25">
      <c r="B211" s="2" t="s">
        <v>286</v>
      </c>
      <c r="C211">
        <v>3.1</v>
      </c>
    </row>
    <row r="212" spans="2:3" x14ac:dyDescent="0.25">
      <c r="B212" s="2" t="s">
        <v>287</v>
      </c>
      <c r="C212">
        <v>3</v>
      </c>
    </row>
    <row r="213" spans="2:3" x14ac:dyDescent="0.25">
      <c r="B213" s="2" t="s">
        <v>288</v>
      </c>
      <c r="C213">
        <v>3</v>
      </c>
    </row>
    <row r="214" spans="2:3" x14ac:dyDescent="0.25">
      <c r="B214" s="2" t="s">
        <v>289</v>
      </c>
      <c r="C214">
        <v>2.2000000000000002</v>
      </c>
    </row>
    <row r="215" spans="2:3" x14ac:dyDescent="0.25">
      <c r="B215" s="2" t="s">
        <v>290</v>
      </c>
      <c r="C215">
        <v>1.3</v>
      </c>
    </row>
    <row r="216" spans="2:3" x14ac:dyDescent="0.25">
      <c r="B216" s="2" t="s">
        <v>291</v>
      </c>
      <c r="C216">
        <v>1.5</v>
      </c>
    </row>
    <row r="217" spans="2:3" x14ac:dyDescent="0.25">
      <c r="B217" s="2" t="s">
        <v>292</v>
      </c>
      <c r="C217">
        <v>2.5</v>
      </c>
    </row>
    <row r="218" spans="2:3" x14ac:dyDescent="0.25">
      <c r="B218" s="2" t="s">
        <v>293</v>
      </c>
      <c r="C218">
        <v>1.7</v>
      </c>
    </row>
    <row r="219" spans="2:3" x14ac:dyDescent="0.25">
      <c r="B219" s="3" t="s">
        <v>294</v>
      </c>
      <c r="C219">
        <v>1.4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4343-5FBB-4482-9AED-F6AFDED9F228}">
  <sheetPr codeName="Sheet4"/>
  <dimension ref="B1:R47"/>
  <sheetViews>
    <sheetView zoomScaleNormal="100" workbookViewId="0">
      <selection activeCell="M3" sqref="M3:R8"/>
    </sheetView>
  </sheetViews>
  <sheetFormatPr defaultRowHeight="15" x14ac:dyDescent="0.25"/>
  <cols>
    <col min="2" max="2" width="43.7109375" bestFit="1" customWidth="1"/>
    <col min="3" max="3" width="11.5703125" bestFit="1" customWidth="1"/>
    <col min="9" max="9" width="16.28515625" bestFit="1" customWidth="1"/>
    <col min="13" max="13" width="11.5703125" customWidth="1"/>
    <col min="14" max="14" width="10.42578125" customWidth="1"/>
    <col min="15" max="15" width="15.140625" customWidth="1"/>
    <col min="16" max="16" width="15.42578125" customWidth="1"/>
    <col min="17" max="17" width="12.5703125" customWidth="1"/>
    <col min="18" max="18" width="18.28515625" customWidth="1"/>
  </cols>
  <sheetData>
    <row r="1" spans="2:18" x14ac:dyDescent="0.25">
      <c r="B1" s="1" t="s">
        <v>3</v>
      </c>
    </row>
    <row r="2" spans="2:18" x14ac:dyDescent="0.25">
      <c r="B2" t="s">
        <v>16</v>
      </c>
      <c r="C2" t="s">
        <v>17</v>
      </c>
    </row>
    <row r="3" spans="2:18" x14ac:dyDescent="0.25">
      <c r="B3" t="s">
        <v>18</v>
      </c>
      <c r="C3" t="s">
        <v>22</v>
      </c>
      <c r="M3" t="s">
        <v>35</v>
      </c>
      <c r="N3" t="s">
        <v>43</v>
      </c>
      <c r="O3" t="s">
        <v>45</v>
      </c>
      <c r="P3" t="s">
        <v>46</v>
      </c>
      <c r="Q3" t="s">
        <v>49</v>
      </c>
      <c r="R3" t="s">
        <v>31</v>
      </c>
    </row>
    <row r="4" spans="2:18" x14ac:dyDescent="0.25">
      <c r="B4" t="s">
        <v>23</v>
      </c>
      <c r="M4">
        <v>3</v>
      </c>
      <c r="N4">
        <v>4</v>
      </c>
      <c r="O4">
        <v>1.4999999999999999E-2</v>
      </c>
      <c r="Q4">
        <v>4.9087385212340517E-2</v>
      </c>
      <c r="R4">
        <v>6.25E-2</v>
      </c>
    </row>
    <row r="5" spans="2:18" x14ac:dyDescent="0.25">
      <c r="M5">
        <v>4</v>
      </c>
      <c r="N5">
        <v>5</v>
      </c>
      <c r="O5">
        <v>1.4999999999999999E-2</v>
      </c>
      <c r="P5">
        <v>1.2E-2</v>
      </c>
      <c r="Q5">
        <v>8.7266462599716474E-2</v>
      </c>
      <c r="R5">
        <v>8.3333333333333343E-2</v>
      </c>
    </row>
    <row r="6" spans="2:18" x14ac:dyDescent="0.25">
      <c r="B6" t="s">
        <v>0</v>
      </c>
      <c r="C6" t="s">
        <v>1</v>
      </c>
      <c r="M6">
        <v>5</v>
      </c>
      <c r="N6">
        <v>6</v>
      </c>
      <c r="O6">
        <v>1.4999999999999999E-2</v>
      </c>
      <c r="Q6">
        <v>0.13635384781205701</v>
      </c>
      <c r="R6">
        <v>0.10416666666666667</v>
      </c>
    </row>
    <row r="7" spans="2:18" x14ac:dyDescent="0.25">
      <c r="C7" t="s">
        <v>2</v>
      </c>
      <c r="M7">
        <v>6</v>
      </c>
      <c r="N7">
        <v>7</v>
      </c>
      <c r="O7">
        <v>1.4999999999999999E-2</v>
      </c>
      <c r="P7">
        <v>1.2E-2</v>
      </c>
      <c r="Q7">
        <v>0.19634954084936207</v>
      </c>
      <c r="R7">
        <v>0.125</v>
      </c>
    </row>
    <row r="8" spans="2:18" x14ac:dyDescent="0.25">
      <c r="B8" t="s">
        <v>8</v>
      </c>
      <c r="C8" t="s">
        <v>9</v>
      </c>
      <c r="M8">
        <v>8</v>
      </c>
      <c r="N8">
        <v>9</v>
      </c>
      <c r="O8">
        <v>1.6E-2</v>
      </c>
      <c r="P8">
        <v>1.2E-2</v>
      </c>
      <c r="Q8">
        <v>0.3490658503988659</v>
      </c>
      <c r="R8">
        <v>0.16666666666666669</v>
      </c>
    </row>
    <row r="9" spans="2:18" x14ac:dyDescent="0.25">
      <c r="C9" t="s">
        <v>10</v>
      </c>
    </row>
    <row r="15" spans="2:18" x14ac:dyDescent="0.25">
      <c r="B15" t="s">
        <v>11</v>
      </c>
      <c r="C15" t="s">
        <v>14</v>
      </c>
    </row>
    <row r="16" spans="2:18" x14ac:dyDescent="0.25">
      <c r="C16" t="s">
        <v>15</v>
      </c>
    </row>
    <row r="17" spans="2:15" x14ac:dyDescent="0.25">
      <c r="O17" t="s">
        <v>52</v>
      </c>
    </row>
    <row r="18" spans="2:15" x14ac:dyDescent="0.25">
      <c r="C18" t="s">
        <v>12</v>
      </c>
    </row>
    <row r="19" spans="2:15" x14ac:dyDescent="0.25">
      <c r="C19" t="s">
        <v>13</v>
      </c>
    </row>
    <row r="21" spans="2:15" x14ac:dyDescent="0.25">
      <c r="C21" t="s">
        <v>19</v>
      </c>
    </row>
    <row r="22" spans="2:15" x14ac:dyDescent="0.25">
      <c r="C22" t="s">
        <v>20</v>
      </c>
    </row>
    <row r="23" spans="2:15" x14ac:dyDescent="0.25">
      <c r="C23" t="s">
        <v>21</v>
      </c>
    </row>
    <row r="24" spans="2:15" x14ac:dyDescent="0.25">
      <c r="C24" t="s">
        <v>10</v>
      </c>
    </row>
    <row r="25" spans="2:15" x14ac:dyDescent="0.25">
      <c r="I25" t="s">
        <v>29</v>
      </c>
      <c r="J25">
        <f>(2*3)/144</f>
        <v>4.1666666666666664E-2</v>
      </c>
      <c r="M25">
        <f>(3*4)/144</f>
        <v>8.3333333333333329E-2</v>
      </c>
    </row>
    <row r="26" spans="2:15" x14ac:dyDescent="0.25">
      <c r="I26" t="s">
        <v>30</v>
      </c>
      <c r="J26">
        <v>1.2E-2</v>
      </c>
      <c r="M26">
        <v>1.2E-2</v>
      </c>
    </row>
    <row r="27" spans="2:15" x14ac:dyDescent="0.25">
      <c r="B27" t="s">
        <v>7</v>
      </c>
      <c r="I27" t="s">
        <v>31</v>
      </c>
      <c r="J27">
        <f>(2/12)*(3/12)/(3/12+4/12)</f>
        <v>7.1428571428571438E-2</v>
      </c>
      <c r="M27">
        <f>(4/12)*(3/12)/(4/12+6/12)</f>
        <v>0.1</v>
      </c>
    </row>
    <row r="28" spans="2:15" x14ac:dyDescent="0.25">
      <c r="I28" t="s">
        <v>32</v>
      </c>
      <c r="J28">
        <v>0.4</v>
      </c>
      <c r="M28">
        <v>0.8</v>
      </c>
    </row>
    <row r="29" spans="2:15" x14ac:dyDescent="0.25">
      <c r="I29" t="s">
        <v>33</v>
      </c>
      <c r="J29">
        <f>1.49/J26*J25*J27^(2/3)*J28^(1/2)</f>
        <v>0.56329827228894658</v>
      </c>
      <c r="M29">
        <f t="shared" ref="M29" si="0">1.49/M26*M25*M27^(2/3)*M28^(1/2)</f>
        <v>1.9938941682757008</v>
      </c>
    </row>
    <row r="30" spans="2:15" x14ac:dyDescent="0.25">
      <c r="B30" s="1" t="s">
        <v>26</v>
      </c>
      <c r="I30" t="s">
        <v>34</v>
      </c>
      <c r="J30">
        <f>J29*448.8</f>
        <v>252.80826460327924</v>
      </c>
      <c r="M30">
        <f t="shared" ref="M30" si="1">M29*448.8</f>
        <v>894.85970272213456</v>
      </c>
    </row>
    <row r="31" spans="2:15" x14ac:dyDescent="0.25">
      <c r="B31" t="s">
        <v>27</v>
      </c>
    </row>
    <row r="32" spans="2:15" x14ac:dyDescent="0.25">
      <c r="B32" t="s">
        <v>28</v>
      </c>
    </row>
    <row r="35" spans="2:10" x14ac:dyDescent="0.25">
      <c r="B35" s="1" t="s">
        <v>24</v>
      </c>
    </row>
    <row r="36" spans="2:10" x14ac:dyDescent="0.25">
      <c r="B36" t="s">
        <v>25</v>
      </c>
      <c r="J36">
        <f>186/464</f>
        <v>0.40086206896551724</v>
      </c>
    </row>
    <row r="37" spans="2:10" x14ac:dyDescent="0.25">
      <c r="J37">
        <f>(2*3)/(3*4)</f>
        <v>0.5</v>
      </c>
    </row>
    <row r="40" spans="2:10" x14ac:dyDescent="0.25">
      <c r="J40" t="s">
        <v>51</v>
      </c>
    </row>
    <row r="44" spans="2:10" x14ac:dyDescent="0.25">
      <c r="B44" s="1" t="s">
        <v>4</v>
      </c>
    </row>
    <row r="45" spans="2:10" x14ac:dyDescent="0.25">
      <c r="B45" t="s">
        <v>6</v>
      </c>
    </row>
    <row r="46" spans="2:10" x14ac:dyDescent="0.25">
      <c r="B46" t="s">
        <v>5</v>
      </c>
    </row>
    <row r="47" spans="2:10" x14ac:dyDescent="0.25">
      <c r="B47" t="s">
        <v>53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337908-3fd1-4cfd-a023-abc3cf136605">
      <Terms xmlns="http://schemas.microsoft.com/office/infopath/2007/PartnerControls"/>
    </lcf76f155ced4ddcb4097134ff3c332f>
    <TaxCatchAll xmlns="20d0b412-8c09-4bb4-9b17-db96a5e35e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74DE28D06E9143B2DD36E44D2AAC98" ma:contentTypeVersion="18" ma:contentTypeDescription="Create a new document." ma:contentTypeScope="" ma:versionID="38b55f4f462c14cf21e5265a83700e1a">
  <xsd:schema xmlns:xsd="http://www.w3.org/2001/XMLSchema" xmlns:xs="http://www.w3.org/2001/XMLSchema" xmlns:p="http://schemas.microsoft.com/office/2006/metadata/properties" xmlns:ns2="20d0b412-8c09-4bb4-9b17-db96a5e35ea9" xmlns:ns3="6e337908-3fd1-4cfd-a023-abc3cf136605" targetNamespace="http://schemas.microsoft.com/office/2006/metadata/properties" ma:root="true" ma:fieldsID="654ecb468209f7bfc0dd973a93b0e7cb" ns2:_="" ns3:_="">
    <xsd:import namespace="20d0b412-8c09-4bb4-9b17-db96a5e35ea9"/>
    <xsd:import namespace="6e337908-3fd1-4cfd-a023-abc3cf136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0b412-8c09-4bb4-9b17-db96a5e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31d13e6-8c98-4804-af45-c401775ee580}" ma:internalName="TaxCatchAll" ma:showField="CatchAllData" ma:web="20d0b412-8c09-4bb4-9b17-db96a5e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37908-3fd1-4cfd-a023-abc3cf136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9cfab8-a05e-46cd-b41a-358afff67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066F14-0174-4B9F-8DB3-01E9FB57E02B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20d0b412-8c09-4bb4-9b17-db96a5e35ea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e337908-3fd1-4cfd-a023-abc3cf136605"/>
  </ds:schemaRefs>
</ds:datastoreItem>
</file>

<file path=customXml/itemProps2.xml><?xml version="1.0" encoding="utf-8"?>
<ds:datastoreItem xmlns:ds="http://schemas.openxmlformats.org/officeDocument/2006/customXml" ds:itemID="{7ACD1A46-BB7C-4608-903C-8362E556E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0b412-8c09-4bb4-9b17-db96a5e35ea9"/>
    <ds:schemaRef ds:uri="6e337908-3fd1-4cfd-a023-abc3cf136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97F6A-9CD3-45D1-AD78-B870EE2863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Downspout Main Calculator</vt:lpstr>
      <vt:lpstr>French Drain Calculator</vt:lpstr>
      <vt:lpstr>IPC Values</vt:lpstr>
      <vt:lpstr>Downspout Main Bones</vt:lpstr>
    </vt:vector>
  </TitlesOfParts>
  <Company>Duininck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Albrecht</dc:creator>
  <cp:lastModifiedBy>Ryan Albrecht</cp:lastModifiedBy>
  <dcterms:created xsi:type="dcterms:W3CDTF">2024-01-12T14:37:56Z</dcterms:created>
  <dcterms:modified xsi:type="dcterms:W3CDTF">2024-03-07T14:42:34Z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0x010100C774DE28D06E9143B2DD36E44D2AAC98</vt:lpwstr>
  </property>
</Properties>
</file>