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omments1.xml" ContentType="application/vnd.openxmlformats-officedocument.spreadsheetml.comments+xml"/>
  <Override PartName="/xl/threadedComments/threadedComment1.xml" ContentType="application/vnd.ms-excel.threadedcomments+xml"/>
  <Override PartName="/xl/drawings/drawing3.xml" ContentType="application/vnd.openxmlformats-officedocument.drawing+xml"/>
  <Override PartName="/xl/drawings/drawing4.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drawings/drawing6.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mc:AlternateContent xmlns:mc="http://schemas.openxmlformats.org/markup-compatibility/2006">
    <mc:Choice Requires="x15">
      <x15ac:absPath xmlns:x15ac="http://schemas.microsoft.com/office/spreadsheetml/2010/11/ac" url="https://duininckcompanies.sharepoint.com/sites/Prinsco/Eng/HydroStor Documents/Letters and Certifications/HS290 Performance Investigation/Document Updates/Move to RedStar/"/>
    </mc:Choice>
  </mc:AlternateContent>
  <xr:revisionPtr revIDLastSave="6272" documentId="13_ncr:1_{409D9AE2-28C1-426A-AB5B-D97217377C5C}" xr6:coauthVersionLast="47" xr6:coauthVersionMax="47" xr10:uidLastSave="{D96D7CCA-B47A-46F3-BA52-68F92F9DC33E}"/>
  <workbookProtection workbookAlgorithmName="SHA-512" workbookHashValue="E7sJuuSB7PAGIzqO2FTVL5MaHXarXeqqfJrJBNH0rXaZl7aIqxInTOE5Q2ITbdDqkQfoAtXExHKjRGNDfHPScA==" workbookSaltValue="0Y9xAOqh1SszzYZPIG8wLw==" workbookSpinCount="100000" lockStructure="1"/>
  <bookViews>
    <workbookView xWindow="-120" yWindow="-120" windowWidth="29040" windowHeight="15720" xr2:uid="{F8643F6E-FC9C-4586-8129-47E4D9400D55}"/>
  </bookViews>
  <sheets>
    <sheet name="Volume-Based Calculator" sheetId="1" r:id="rId1"/>
    <sheet name="Layout-Based Calculator" sheetId="2" r:id="rId2"/>
    <sheet name="LB Calcs" sheetId="4" state="hidden" r:id="rId3"/>
    <sheet name="Draft" sheetId="3" state="hidden" r:id="rId4"/>
    <sheet name="Tables" sheetId="5" state="hidden" r:id="rId5"/>
    <sheet name="Pics" sheetId="6" state="hidden" r:id="rId6"/>
    <sheet name="Versions" sheetId="7" state="hidden" r:id="rId7"/>
  </sheets>
  <externalReferences>
    <externalReference r:id="rId8"/>
  </externalReferences>
  <definedNames>
    <definedName name="_xleta.IF" hidden="1" xlm="1">#NAME?</definedName>
    <definedName name="ChamberManifold" localSheetId="5">INDIRECT('[1]LB Calcs'!$G$40)</definedName>
    <definedName name="ChamberManifold" localSheetId="4">INDIRECT('[1]LB Calcs'!$G$40)</definedName>
    <definedName name="ChamberManifold">INDIRECT('LB Calcs'!$G$42)</definedName>
    <definedName name="DET">Pics!$D$8</definedName>
    <definedName name="DM">Pics!$D$2</definedName>
    <definedName name="FDMDS">Pics!$B$2</definedName>
    <definedName name="FDMSS">Pics!$B$1</definedName>
    <definedName name="Fittings" localSheetId="2">'LB Calcs'!$F$4:$F$7</definedName>
    <definedName name="Fittings">#REF!</definedName>
    <definedName name="FNM">Pics!$B$5</definedName>
    <definedName name="FSMDS">Pics!$B$4</definedName>
    <definedName name="FSMSS">Pics!$B$3</definedName>
    <definedName name="HeaderConfiguration" localSheetId="2">'LB Calcs'!$D$4:$D$6</definedName>
    <definedName name="HeaderConfiguration">#REF!</definedName>
    <definedName name="LBManifoldSelection" comment="This chooses the picture depending on the number of manifolds selected.">INDIRECT(Pics!$J$1)</definedName>
    <definedName name="ManifoldPicture" comment="Selects the picture used for the chamber, based on the number of manifolds the user selected.">INDIRECT(Pics!$I$1)</definedName>
    <definedName name="ONEMANIFOLD">Pics!$G$1</definedName>
    <definedName name="OneManifoldPic" comment="Image of a generic system with one manifold.">"Picture 6"</definedName>
    <definedName name="Perforated" localSheetId="2">'LB Calcs'!$E$4:$E$5</definedName>
    <definedName name="Perforated">#REF!</definedName>
    <definedName name="Picture">INDIRECT(#REF!)</definedName>
    <definedName name="Picture2" localSheetId="2">INDIRECT('LB Calcs'!$B$64)</definedName>
    <definedName name="Picture2">INDIRECT(#REF!)</definedName>
    <definedName name="PipeSizes" localSheetId="2">'LB Calcs'!$C$4:$C$10</definedName>
    <definedName name="PipeSizes">#REF!</definedName>
    <definedName name="_xlnm.Print_Area" localSheetId="1">'Layout-Based Calculator'!$F$1:$BD$46</definedName>
    <definedName name="_xlnm.Print_Area" localSheetId="0">'Volume-Based Calculator'!$B$1:$AF$60</definedName>
    <definedName name="Profile" localSheetId="2">'LB Calcs'!$I$2:$I$3</definedName>
    <definedName name="Profile">#REF!</definedName>
    <definedName name="RET">Pics!$D$9</definedName>
    <definedName name="SM">Pics!$D$1</definedName>
    <definedName name="State" localSheetId="2">'LB Calcs'!$R$9:$R$55</definedName>
    <definedName name="State">#REF!</definedName>
    <definedName name="System" localSheetId="2">'LB Calcs'!$H$4:$H$5</definedName>
    <definedName name="System">#REF!</definedName>
    <definedName name="textbox48">'Volume-Based Calculator'!$AV$27</definedName>
    <definedName name="TwoManifoldPic" comment="Refers to an image of a generic system that has TWO manifolds.">"Picture 25"</definedName>
    <definedName name="TWOMANIFOLDS">Pics!$G$2</definedName>
    <definedName name="YesNo" localSheetId="2">'LB Calcs'!$G$4:$G$7</definedName>
    <definedName name="YesNo">#REF!</definedName>
    <definedName name="Z_907EC655_306C_4FA9_B4FE_B8C798D6276E_.wvu.PrintArea" localSheetId="1" hidden="1">'Layout-Based Calculator'!$F$1:$BD$46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50" i="4" l="1"/>
  <c r="G47" i="4" a="1"/>
  <c r="G47" i="4" s="1"/>
  <c r="AE55" i="1" l="1"/>
  <c r="O5" i="5"/>
  <c r="BC43" i="2"/>
  <c r="D18" i="5" l="1"/>
  <c r="C6" i="4"/>
  <c r="O3" i="5"/>
  <c r="V43" i="2"/>
  <c r="AC43" i="2"/>
  <c r="AJ43" i="2"/>
  <c r="AP43" i="2"/>
  <c r="M11" i="5"/>
  <c r="L11" i="5"/>
  <c r="Q11" i="5"/>
  <c r="O4" i="5" l="1"/>
  <c r="O6" i="5"/>
  <c r="O7" i="5"/>
  <c r="O8" i="5"/>
  <c r="O10" i="5"/>
  <c r="O11" i="5"/>
  <c r="M10" i="5"/>
  <c r="M9" i="5"/>
  <c r="L10" i="5" l="1"/>
  <c r="U55" i="1" l="1"/>
  <c r="Y55" i="1" l="1"/>
  <c r="L17" i="4" l="1"/>
  <c r="L16" i="4"/>
  <c r="L15" i="4"/>
  <c r="L14" i="4"/>
  <c r="L13" i="4"/>
  <c r="AV43" i="2"/>
  <c r="AB55" i="1"/>
  <c r="N55" i="1"/>
  <c r="Q55" i="1"/>
  <c r="O49" i="1" l="1"/>
  <c r="R4" i="5"/>
  <c r="M7" i="4"/>
  <c r="M4" i="5" l="1"/>
  <c r="L4" i="5"/>
  <c r="G46" i="4" a="1"/>
  <c r="G46" i="4" s="1"/>
  <c r="J55" i="4" s="1"/>
  <c r="N31" i="2" l="1"/>
  <c r="G59" i="4" a="1"/>
  <c r="G59" i="4" s="1"/>
  <c r="G61" i="4" s="1"/>
  <c r="G58" i="4" a="1"/>
  <c r="G58" i="4" s="1"/>
  <c r="G57" i="4" a="1"/>
  <c r="G57" i="4" s="1"/>
  <c r="G48" i="4" a="1"/>
  <c r="G48" i="4" s="1"/>
  <c r="D16" i="4"/>
  <c r="C14" i="4"/>
  <c r="D14" i="4" s="1"/>
  <c r="C13" i="4"/>
  <c r="D13" i="4" s="1"/>
  <c r="C12" i="4"/>
  <c r="D12" i="4" s="1"/>
  <c r="C11" i="4"/>
  <c r="D11" i="4" s="1"/>
  <c r="G62" i="4" l="1"/>
  <c r="A17" i="4" l="1"/>
  <c r="A18" i="4"/>
  <c r="AQ44" i="1" l="1"/>
  <c r="Q12" i="4" l="1"/>
  <c r="Q11" i="4"/>
  <c r="C4" i="4" l="1"/>
  <c r="G37" i="4" s="1"/>
  <c r="Q3" i="5"/>
  <c r="R3" i="5"/>
  <c r="Q4" i="5"/>
  <c r="Q5" i="5"/>
  <c r="R5" i="5"/>
  <c r="Q6" i="5"/>
  <c r="R6" i="5"/>
  <c r="Q7" i="5"/>
  <c r="R7" i="5"/>
  <c r="Q8" i="5"/>
  <c r="R8" i="5"/>
  <c r="J9" i="5"/>
  <c r="S9" i="5"/>
  <c r="Q10" i="5"/>
  <c r="N15" i="5"/>
  <c r="G16" i="5"/>
  <c r="G17" i="5"/>
  <c r="L32" i="2" l="1"/>
  <c r="M7" i="5"/>
  <c r="L7" i="5"/>
  <c r="M6" i="5"/>
  <c r="L6" i="5"/>
  <c r="O9" i="5"/>
  <c r="L9" i="5"/>
  <c r="M8" i="5"/>
  <c r="L8" i="5"/>
  <c r="M5" i="5"/>
  <c r="L5" i="5"/>
  <c r="M3" i="5"/>
  <c r="L3" i="5"/>
  <c r="Y3" i="5"/>
  <c r="G12" i="4"/>
  <c r="C21" i="4"/>
  <c r="G36" i="4"/>
  <c r="L31" i="2" s="1"/>
  <c r="G30" i="4"/>
  <c r="I30" i="4" s="1"/>
  <c r="J30" i="4" s="1"/>
  <c r="G22" i="4"/>
  <c r="I22" i="4" s="1"/>
  <c r="J22" i="4" s="1"/>
  <c r="G26" i="4"/>
  <c r="G28" i="4"/>
  <c r="G24" i="4"/>
  <c r="G27" i="4"/>
  <c r="I27" i="4" s="1"/>
  <c r="J27" i="4" s="1"/>
  <c r="G23" i="4"/>
  <c r="I23" i="4" s="1"/>
  <c r="J23" i="4" s="1"/>
  <c r="G25" i="4"/>
  <c r="G34" i="4"/>
  <c r="C5" i="4"/>
  <c r="G15" i="4" s="1"/>
  <c r="G42" i="4"/>
  <c r="C7" i="4"/>
  <c r="C8" i="4"/>
  <c r="C9" i="4"/>
  <c r="A10" i="4"/>
  <c r="C10" i="4" s="1"/>
  <c r="C15" i="4"/>
  <c r="D17" i="4"/>
  <c r="D18" i="4"/>
  <c r="M2" i="4"/>
  <c r="M3" i="4"/>
  <c r="M5" i="4"/>
  <c r="M6" i="4"/>
  <c r="M9" i="4"/>
  <c r="G64" i="4" l="1"/>
  <c r="G65" i="4"/>
  <c r="A21" i="4"/>
  <c r="G13" i="4"/>
  <c r="G14" i="4"/>
  <c r="G35" i="4"/>
  <c r="I24" i="4"/>
  <c r="J24" i="4" s="1"/>
  <c r="G33" i="4"/>
  <c r="I25" i="4"/>
  <c r="G53" i="4"/>
  <c r="G54" i="4"/>
  <c r="C16" i="4"/>
  <c r="C17" i="4"/>
  <c r="C18" i="4"/>
  <c r="G32" i="4"/>
  <c r="I43" i="2" s="1"/>
  <c r="G29" i="4"/>
  <c r="G56" i="4" s="1"/>
  <c r="I34" i="4"/>
  <c r="J34" i="4" s="1"/>
  <c r="G19" i="4"/>
  <c r="G51" i="4" l="1"/>
  <c r="G5" i="4"/>
  <c r="G18" i="4"/>
  <c r="G20" i="4" s="1"/>
  <c r="G39" i="4"/>
  <c r="G40" i="4" s="1"/>
  <c r="AH43" i="2" s="1"/>
  <c r="C25" i="4"/>
  <c r="G21" i="4"/>
  <c r="O43" i="2"/>
  <c r="G4" i="4"/>
  <c r="I4" i="4" s="1"/>
  <c r="AJ39" i="2" s="1"/>
  <c r="G60" i="4"/>
  <c r="G63" i="4" s="1"/>
  <c r="G45" i="4"/>
  <c r="I12" i="4"/>
  <c r="J12" i="4" s="1"/>
  <c r="I19" i="4"/>
  <c r="J19" i="4" s="1"/>
  <c r="I26" i="4"/>
  <c r="J26" i="4" s="1"/>
  <c r="I29" i="4"/>
  <c r="J29" i="4" s="1"/>
  <c r="I28" i="4"/>
  <c r="J28" i="4" s="1"/>
  <c r="G6" i="4" l="1"/>
  <c r="I6" i="4" s="1"/>
  <c r="AB39" i="2"/>
  <c r="G9" i="4"/>
  <c r="C24" i="4"/>
  <c r="I5" i="4"/>
  <c r="I21" i="4"/>
  <c r="J21" i="4" s="1"/>
  <c r="I38" i="4"/>
  <c r="G49" i="4"/>
  <c r="G31" i="4"/>
  <c r="G68" i="4"/>
  <c r="G69" i="4" s="1"/>
  <c r="G70" i="4" s="1"/>
  <c r="I14" i="4"/>
  <c r="I37" i="4"/>
  <c r="W14" i="1"/>
  <c r="G52" i="4" l="1"/>
  <c r="J56" i="4"/>
  <c r="G10" i="4"/>
  <c r="G7" i="4"/>
  <c r="G8" i="4" s="1"/>
  <c r="I20" i="4"/>
  <c r="J20" i="4" s="1"/>
  <c r="G67" i="4"/>
  <c r="AN43" i="2" s="1"/>
  <c r="AT43" i="2"/>
  <c r="G18" i="1"/>
  <c r="T43" i="2" l="1"/>
  <c r="G11" i="4"/>
  <c r="AA43" i="2" s="1"/>
  <c r="I8" i="4"/>
  <c r="G71" i="4"/>
  <c r="BA43" i="2" s="1"/>
  <c r="I9" i="4"/>
  <c r="I7" i="4" l="1"/>
  <c r="T39" i="2" s="1"/>
  <c r="I10" i="4"/>
  <c r="I11" i="4"/>
  <c r="BC13" i="2"/>
  <c r="AU13" i="2"/>
  <c r="AN15" i="2"/>
  <c r="AN13" i="2"/>
  <c r="AE15" i="2"/>
  <c r="V15" i="2"/>
  <c r="M15" i="2"/>
  <c r="N32" i="2"/>
  <c r="AT39" i="2"/>
  <c r="AL39" i="2"/>
  <c r="AD39" i="2"/>
  <c r="V39" i="2"/>
  <c r="O39" i="2"/>
  <c r="J1" i="6" l="1"/>
  <c r="I1" i="6"/>
  <c r="R49" i="1"/>
  <c r="W49" i="1"/>
  <c r="Z49" i="1"/>
  <c r="AD49" i="1"/>
  <c r="G16" i="1"/>
  <c r="X18" i="1" l="1"/>
  <c r="R18" i="1"/>
  <c r="M18" i="1"/>
  <c r="AE16" i="1"/>
  <c r="AB16" i="1"/>
  <c r="X16" i="1"/>
  <c r="M16" i="1"/>
  <c r="M39" i="2" l="1"/>
  <c r="AQ39"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tc={A3B6DB69-EA11-4F2C-B051-5E3719149B1E}</author>
    <author>Samantha Ewald</author>
    <author>tc={1BE2E191-B24F-40B9-BC8E-B4A032FC5D17}</author>
    <author>tc={147C4C57-395D-491A-A3EF-A8C779A3C89A}</author>
    <author>tc={25180B20-2680-49DD-A305-B12080521C90}</author>
    <author>tc={EE34B3C8-9E10-4046-BC56-047D590F1F68}</author>
    <author>Bryce Erickson</author>
    <author>tc={CDA4A1DE-96C6-4FEE-B960-A15C7F82D4FE}</author>
    <author>tc={882B9A8A-836C-4BB1-ADE1-A4C17AF31C1F}</author>
    <author>tc={59F74278-914A-4104-AEDA-EA0160C8E69A}</author>
    <author>tc={284A686D-768D-45FA-A3F1-DDE5B0F1182D}</author>
    <author>tc={CF4C0E70-05DB-4E9F-9838-F1489CB0DA10}</author>
    <author>tc={FAED72D8-0EFD-46E9-8773-923FFC7C4809}</author>
    <author>tc={EA7341D0-27CB-4FA2-AEC1-C79D72F4B536}</author>
  </authors>
  <commentList>
    <comment ref="N1" authorId="0" shapeId="0" xr:uid="{A3B6DB69-EA11-4F2C-B051-5E3719149B1E}">
      <text>
        <t>[Threaded comment]
Your version of Excel allows you to read this threaded comment; however, any edits to it will get removed if the file is opened in a newer version of Excel. Learn more: https://go.microsoft.com/fwlink/?linkid=870924
Comment:
    Added 0 manifold option</t>
      </text>
    </comment>
    <comment ref="K2" authorId="1" shapeId="0" xr:uid="{507E9E05-E3D4-40BA-BF43-DC6C66830075}">
      <text>
        <r>
          <rPr>
            <b/>
            <sz val="9"/>
            <color indexed="81"/>
            <rFont val="Tahoma"/>
            <family val="2"/>
          </rPr>
          <t>Samantha Ewald:</t>
        </r>
        <r>
          <rPr>
            <sz val="9"/>
            <color indexed="81"/>
            <rFont val="Tahoma"/>
            <family val="2"/>
          </rPr>
          <t xml:space="preserve">
add "Hs290" when ready</t>
        </r>
      </text>
    </comment>
    <comment ref="G5" authorId="2" shapeId="0" xr:uid="{1BE2E191-B24F-40B9-BC8E-B4A032FC5D17}">
      <text>
        <t>[Threaded comment]
Your version of Excel allows you to read this threaded comment; however, any edits to it will get removed if the file is opened in a newer version of Excel. Learn more: https://go.microsoft.com/fwlink/?linkid=870924
Comment:
    Updated from old equation =IF(C7="YES",(((VLOOKUP(C5,Tables!C3:Q11,13,0))+((C8-1)*VLOOKUP(C5,Tables!C3:Q11,10,0))+((G19-(VLOOKUP(C5,Tables!C3:Q11,12,0)/12)-((C8-1)*(VLOOKUP(C5,Tables!C3:Q11,9,0)/12)))*VLOOKUP(C5,Tables!C3:Q11,8,0)))*C6),0)</t>
      </text>
    </comment>
    <comment ref="C6" authorId="3" shapeId="0" xr:uid="{147C4C57-395D-491A-A3EF-A8C779A3C89A}">
      <text>
        <t>[Threaded comment]
Your version of Excel allows you to read this threaded comment; however, any edits to it will get removed if the file is opened in a newer version of Excel. Learn more: https://go.microsoft.com/fwlink/?linkid=870924
Comment:
    Updated to include no manifolds</t>
      </text>
    </comment>
    <comment ref="G6" authorId="4" shapeId="0" xr:uid="{25180B20-2680-49DD-A305-B12080521C90}">
      <text>
        <t>[Threaded comment]
Your version of Excel allows you to read this threaded comment; however, any edits to it will get removed if the file is opened in a newer version of Excel. Learn more: https://go.microsoft.com/fwlink/?linkid=870924
Comment:
    Updated from old equation
=((((C8-1)*VLOOKUP(C5,Tables!C3:Q11,11,0))+((G19+(VLOOKUP(C5,Tables!C3:Q11,12,0)/12)-((C8-1)*(VLOOKUP(C5,Tables!C3:Q11,9,0)/12)))*VLOOKUP(C5,Tables!C3:Q11,15,0)))*C6)</t>
      </text>
    </comment>
    <comment ref="G11" authorId="5" shapeId="0" xr:uid="{EE34B3C8-9E10-4046-BC56-047D590F1F68}">
      <text>
        <t>[Threaded comment]
Your version of Excel allows you to read this threaded comment; however, any edits to it will get removed if the file is opened in a newer version of Excel. Learn more: https://go.microsoft.com/fwlink/?linkid=870924
Comment:
    Updated old equation pasted below.
=(((G9*2)+(G20*G35*2)+(G21*G35*2))*1.2)/9</t>
      </text>
    </comment>
    <comment ref="L11" authorId="6" shapeId="0" xr:uid="{609D42F2-FCC0-48A1-B645-D8D357CC931D}">
      <text>
        <r>
          <rPr>
            <b/>
            <sz val="11"/>
            <color indexed="81"/>
            <rFont val="Tahoma"/>
            <family val="2"/>
          </rPr>
          <t>Bryce Erickson:</t>
        </r>
        <r>
          <rPr>
            <sz val="11"/>
            <color indexed="81"/>
            <rFont val="Tahoma"/>
            <family val="2"/>
          </rPr>
          <t xml:space="preserve">
Will be empty if retention is selected</t>
        </r>
      </text>
    </comment>
    <comment ref="G20" authorId="7" shapeId="0" xr:uid="{CDA4A1DE-96C6-4FEE-B960-A15C7F82D4FE}">
      <text>
        <t xml:space="preserve">[Threaded comment]
Your version of Excel allows you to read this threaded comment; however, any edits to it will get removed if the file is opened in a newer version of Excel. Learn more: https://go.microsoft.com/fwlink/?linkid=870924
Comment:
    Updated equation from, removed adding the 0.5” and 1” 
=G18+IF(C6=0,(G25/12)*2,IF(C6=1,(G25/12)+1,2))
</t>
      </text>
    </comment>
    <comment ref="G35" authorId="8" shapeId="0" xr:uid="{882B9A8A-836C-4BB1-ADE1-A4C17AF31C1F}">
      <text>
        <t>[Threaded comment]
Your version of Excel allows you to read this threaded comment; however, any edits to it will get removed if the file is opened in a newer version of Excel. Learn more: https://go.microsoft.com/fwlink/?linkid=870924
Comment:
    Removed round function</t>
      </text>
    </comment>
    <comment ref="G37" authorId="9" shapeId="0" xr:uid="{59F74278-914A-4104-AEDA-EA0160C8E69A}">
      <text>
        <t>[Threaded comment]
Your version of Excel allows you to read this threaded comment; however, any edits to it will get removed if the file is opened in a newer version of Excel. Learn more: https://go.microsoft.com/fwlink/?linkid=870924
Comment:
    Made this reference Tables Tab</t>
      </text>
    </comment>
    <comment ref="G39" authorId="10" shapeId="0" xr:uid="{284A686D-768D-45FA-A3F1-DDE5B0F1182D}">
      <text>
        <t>[Threaded comment]
Your version of Excel allows you to read this threaded comment; however, any edits to it will get removed if the file is opened in a newer version of Excel. Learn more: https://go.microsoft.com/fwlink/?linkid=870924
Comment:
    Updated from old equation
=(((G19-(G23/12)+1.33)*15)*1)/9</t>
      </text>
    </comment>
    <comment ref="G40" authorId="11" shapeId="0" xr:uid="{CF4C0E70-05DB-4E9F-9838-F1489CB0DA10}">
      <text>
        <t>[Threaded comment]
Your version of Excel allows you to read this threaded comment; however, any edits to it will get removed if the file is opened in a newer version of Excel. Learn more: https://go.microsoft.com/fwlink/?linkid=870924
Comment:
    Updated equation to reflect systems calc 6.6
=((((IF(C4="HS75",Tables!R16,IF(C4="HS180",Tables!R17,IF(C4="HS31",Tables!R15,Tables!R18)))*(G13+2))*2)*1)/9)</t>
      </text>
    </comment>
    <comment ref="G50" authorId="12" shapeId="0" xr:uid="{FAED72D8-0EFD-46E9-8773-923FFC7C4809}">
      <text>
        <t>[Threaded comment]
Your version of Excel allows you to read this threaded comment; however, any edits to it will get removed if the file is opened in a newer version of Excel. Learn more: https://go.microsoft.com/fwlink/?linkid=870924
Comment:
    References cell G37 now</t>
      </text>
    </comment>
    <comment ref="F66" authorId="13" shapeId="0" xr:uid="{EA7341D0-27CB-4FA2-AEC1-C79D72F4B536}">
      <text>
        <t>[Threaded comment]
Your version of Excel allows you to read this threaded comment; however, any edits to it will get removed if the file is opened in a newer version of Excel. Learn more: https://go.microsoft.com/fwlink/?linkid=870924
Comment:
    All liner calcs are new, they are empty for retention systems and when no liner is selected.</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tc={183FE380-800A-4393-9503-415AE3A4D3BD}</author>
    <author>tc={31092ED9-2D77-4D9A-884E-2FB5326BD585}</author>
    <author>tc={1340C2A4-1A05-4611-9ACD-E58AFB045266}</author>
    <author>tc={7BD9B739-72B7-4B19-AEDF-0F65193131B7}</author>
    <author>tc={D0F64FB4-76CB-4124-AE3A-0C27A0441E18}</author>
    <author>tc={AA848A45-D0D9-4E08-A03D-C4BD924412FB}</author>
    <author>tc={9ACB7AE7-87D0-4202-9F9A-5AF478602DC9}</author>
    <author>tc={A2B4E355-E015-4954-ABDD-7EB6FC88D6EC}</author>
    <author>tc={AAF7923B-0E2B-4280-A622-25CA4C8F8BC4}</author>
    <author>tc={613A006F-C6C8-4A35-AB6A-A5D162FF2CF1}</author>
    <author>tc={BEDF0D46-6E06-481C-9E07-741E2E341E14}</author>
    <author>tc={97E4F4FE-9066-4ECA-BD55-D279CB245983}</author>
    <author>tc={35B9359C-40DA-43D5-AAC9-FD1C3B64D64E}</author>
    <author>tc={FB71A6E4-B88B-40BE-99E9-8626FAE0FAEE}</author>
    <author>tc={8629E4EF-4269-4B36-843A-08BBB8B874B4}</author>
    <author>tc={DB844D61-753E-4F5D-8A34-C24100D1B7AD}</author>
    <author>tc={72A42D82-EAF5-4F12-A9A9-DB6D1132843C}</author>
    <author>tc={14C5C02D-8E7D-4551-967B-BD14BC59B8CB}</author>
    <author>tc={3C117186-D692-455C-8CE2-1499BA1858E2}</author>
    <author>tc={B5CF150C-2AC4-465E-A702-356943E8779E}</author>
    <author>tc={F6C573C4-D74A-415B-90D0-F263A74F4505}</author>
  </authors>
  <commentList>
    <comment ref="T1" authorId="0" shapeId="0" xr:uid="{183FE380-800A-4393-9503-415AE3A4D3BD}">
      <text>
        <t>[Threaded comment]
Your version of Excel allows you to read this threaded comment; however, any edits to it will get removed if the file is opened in a newer version of Excel. Learn more: https://go.microsoft.com/fwlink/?linkid=870924
Comment:
    These values are based on the old pipe gallery 4.9 (2021). They assume no concrete structure</t>
      </text>
    </comment>
    <comment ref="F2" authorId="1" shapeId="0" xr:uid="{31092ED9-2D77-4D9A-884E-2FB5326BD585}">
      <text>
        <t>[Threaded comment]
Your version of Excel allows you to read this threaded comment; however, any edits to it will get removed if the file is opened in a newer version of Excel. Learn more: https://go.microsoft.com/fwlink/?linkid=870924
Comment:
    Updated all but 0, 8, 10 to match pipe systems calc</t>
      </text>
    </comment>
    <comment ref="G2" authorId="2" shapeId="0" xr:uid="{1340C2A4-1A05-4611-9ACD-E58AFB045266}">
      <text>
        <t>[Threaded comment]
Your version of Excel allows you to read this threaded comment; however, any edits to it will get removed if the file is opened in a newer version of Excel. Learn more: https://go.microsoft.com/fwlink/?linkid=870924
Comment:
    Updated all but 0, 8, 10 to match pipe systems calc</t>
      </text>
    </comment>
    <comment ref="O2" authorId="3" shapeId="0" xr:uid="{7BD9B739-72B7-4B19-AEDF-0F65193131B7}">
      <text>
        <t>[Threaded comment]
Your version of Excel allows you to read this threaded comment; however, any edits to it will get removed if the file is opened in a newer version of Excel. Learn more: https://go.microsoft.com/fwlink/?linkid=870924
Comment:
    Multiplied by 2 since only half the 90 was counted, this is not actually used to calculate anything</t>
      </text>
    </comment>
    <comment ref="T2" authorId="4" shapeId="0" xr:uid="{D0F64FB4-76CB-4124-AE3A-0C27A0441E18}">
      <text>
        <t xml:space="preserve">[Threaded comment]
Your version of Excel allows you to read this threaded comment; however, any edits to it will get removed if the file is opened in a newer version of Excel. Learn more: https://go.microsoft.com/fwlink/?linkid=870924
Comment:
    Not sure where the stub values came from for all of the endcaps. I think having a standard value of 18” would be more accurate to what actually takes place. </t>
      </text>
    </comment>
    <comment ref="D10" authorId="5" shapeId="0" xr:uid="{AA848A45-D0D9-4E08-A03D-C4BD924412FB}">
      <text>
        <t>[Threaded comment]
Your version of Excel allows you to read this threaded comment; however, any edits to it will get removed if the file is opened in a newer version of Excel. Learn more: https://go.microsoft.com/fwlink/?linkid=870924
Comment:
    Updated to match systems calc</t>
      </text>
    </comment>
    <comment ref="J10" authorId="6" shapeId="0" xr:uid="{9ACB7AE7-87D0-4202-9F9A-5AF478602DC9}">
      <text>
        <t>[Threaded comment]
Your version of Excel allows you to read this threaded comment; however, any edits to it will get removed if the file is opened in a newer version of Excel. Learn more: https://go.microsoft.com/fwlink/?linkid=870924
Comment:
    Updated to match systems calc</t>
      </text>
    </comment>
    <comment ref="E11" authorId="7" shapeId="0" xr:uid="{A2B4E355-E015-4954-ABDD-7EB6FC88D6EC}">
      <text>
        <t>[Threaded comment]
Your version of Excel allows you to read this threaded comment; however, any edits to it will get removed if the file is opened in a newer version of Excel. Learn more: https://go.microsoft.com/fwlink/?linkid=870924
Comment:
    Updated to match systems calc</t>
      </text>
    </comment>
    <comment ref="J11" authorId="8" shapeId="0" xr:uid="{AAF7923B-0E2B-4280-A622-25CA4C8F8BC4}">
      <text>
        <t>[Threaded comment]
Your version of Excel allows you to read this threaded comment; however, any edits to it will get removed if the file is opened in a newer version of Excel. Learn more: https://go.microsoft.com/fwlink/?linkid=870924
Comment:
    Updated to match systems calc</t>
      </text>
    </comment>
    <comment ref="B14" authorId="9" shapeId="0" xr:uid="{613A006F-C6C8-4A35-AB6A-A5D162FF2CF1}">
      <text>
        <t>[Threaded comment]
Your version of Excel allows you to read this threaded comment; however, any edits to it will get removed if the file is opened in a newer version of Excel. Learn more: https://go.microsoft.com/fwlink/?linkid=870924
Comment:
    Updated this table to reflect the specs on 4/8/26</t>
      </text>
    </comment>
    <comment ref="S14" authorId="10" shapeId="0" xr:uid="{BEDF0D46-6E06-481C-9E07-741E2E341E14}">
      <text>
        <t>[Threaded comment]
Your version of Excel allows you to read this threaded comment; however, any edits to it will get removed if the file is opened in a newer version of Excel. Learn more: https://go.microsoft.com/fwlink/?linkid=870924
Comment:
    Added this column since the HS290 is 7’ now</t>
      </text>
    </comment>
    <comment ref="O15" authorId="11" shapeId="0" xr:uid="{97E4F4FE-9066-4ECA-BD55-D279CB245983}">
      <text>
        <t>[Threaded comment]
Your version of Excel allows you to read this threaded comment; however, any edits to it will get removed if the file is opened in a newer version of Excel. Learn more: https://go.microsoft.com/fwlink/?linkid=870924
Comment:
    From 14.9 to 15.16
Reply:
    Updated from 15.15 to 15.14</t>
      </text>
    </comment>
    <comment ref="Q15" authorId="12" shapeId="0" xr:uid="{35B9359C-40DA-43D5-AAC9-FD1C3B64D64E}">
      <text>
        <t>[Threaded comment]
Your version of Excel allows you to read this threaded comment; however, any edits to it will get removed if the file is opened in a newer version of Excel. Learn more: https://go.microsoft.com/fwlink/?linkid=870924
Comment:
    From 0.47 to 0.62</t>
      </text>
    </comment>
    <comment ref="O16" authorId="13" shapeId="0" xr:uid="{FB71A6E4-B88B-40BE-99E9-8626FAE0FAEE}">
      <text>
        <t>[Threaded comment]
Your version of Excel allows you to read this threaded comment; however, any edits to it will get removed if the file is opened in a newer version of Excel. Learn more: https://go.microsoft.com/fwlink/?linkid=870924
Comment:
    From 46.40 to 46.64
Reply:
    Updated from 46.64 to 46.6</t>
      </text>
    </comment>
    <comment ref="Q16" authorId="14" shapeId="0" xr:uid="{8629E4EF-4269-4B36-843A-08BBB8B874B4}">
      <text>
        <t>[Threaded comment]
Your version of Excel allows you to read this threaded comment; however, any edits to it will get removed if the file is opened in a newer version of Excel. Learn more: https://go.microsoft.com/fwlink/?linkid=870924
Comment:
    From 2.75 to 3.42
Reply:
    Updated from 3.42 to 3.4</t>
      </text>
    </comment>
    <comment ref="J17" authorId="15" shapeId="0" xr:uid="{DB844D61-753E-4F5D-8A34-C24100D1B7AD}">
      <text>
        <t>[Threaded comment]
Your version of Excel allows you to read this threaded comment; however, any edits to it will get removed if the file is opened in a newer version of Excel. Learn more: https://go.microsoft.com/fwlink/?linkid=870924
Comment:
    Updated to 12” since that is what is always used</t>
      </text>
    </comment>
    <comment ref="O17" authorId="16" shapeId="0" xr:uid="{72A42D82-EAF5-4F12-A9A9-DB6D1132843C}">
      <text>
        <t>[Threaded comment]
Your version of Excel allows you to read this threaded comment; however, any edits to it will get removed if the file is opened in a newer version of Excel. Learn more: https://go.microsoft.com/fwlink/?linkid=870924
Comment:
    Updated from 113.6 to 133.57</t>
      </text>
    </comment>
    <comment ref="Q17" authorId="17" shapeId="0" xr:uid="{14C5C02D-8E7D-4551-967B-BD14BC59B8CB}">
      <text>
        <t>[Threaded comment]
Your version of Excel allows you to read this threaded comment; however, any edits to it will get removed if the file is opened in a newer version of Excel. Learn more: https://go.microsoft.com/fwlink/?linkid=870924
Comment:
    Updated from 15.3 to 15.33</t>
      </text>
    </comment>
    <comment ref="D18" authorId="18" shapeId="0" xr:uid="{3C117186-D692-455C-8CE2-1499BA1858E2}">
      <text>
        <t>[Threaded comment]
Your version of Excel allows you to read this threaded comment; however, any edits to it will get removed if the file is opened in a newer version of Excel. Learn more: https://go.microsoft.com/fwlink/?linkid=870924
Comment:
    Changed from 60 to 59.5 to match system calc</t>
      </text>
    </comment>
    <comment ref="O18" authorId="19" shapeId="0" xr:uid="{B5CF150C-2AC4-465E-A702-356943E8779E}">
      <text>
        <t>[Threaded comment]
Your version of Excel allows you to read this threaded comment; however, any edits to it will get removed if the file is opened in a newer version of Excel. Learn more: https://go.microsoft.com/fwlink/?linkid=870924
Comment:
    Updated from 109.6 to 109.67</t>
      </text>
    </comment>
    <comment ref="P18" authorId="20" shapeId="0" xr:uid="{F6C573C4-D74A-415B-90D0-F263A74F4505}">
      <text>
        <t>[Threaded comment]
Your version of Excel allows you to read this threaded comment; however, any edits to it will get removed if the file is opened in a newer version of Excel. Learn more: https://go.microsoft.com/fwlink/?linkid=870924
Comment:
    Changed from 32.4 to 32.3607</t>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<sst xmlns="http://schemas.openxmlformats.org/spreadsheetml/2006/main" count="371" uniqueCount="277">
  <si>
    <t>PROJECT DESCRIPTION</t>
  </si>
  <si>
    <t>Project Name:</t>
  </si>
  <si>
    <t>Engineer:</t>
  </si>
  <si>
    <t>Date:</t>
  </si>
  <si>
    <t>/</t>
  </si>
  <si>
    <t>Contractor:</t>
  </si>
  <si>
    <t>City/State:</t>
  </si>
  <si>
    <t>Designed By:</t>
  </si>
  <si>
    <t>Phone #:</t>
  </si>
  <si>
    <t>Prinsco Rep:</t>
  </si>
  <si>
    <t>%</t>
  </si>
  <si>
    <t>SYSTEM LAYOUT</t>
  </si>
  <si>
    <t>SYSTEM STORAGE &amp; QUANTITIES</t>
  </si>
  <si>
    <t>of</t>
  </si>
  <si>
    <t>&amp;</t>
  </si>
  <si>
    <t>rows</t>
  </si>
  <si>
    <t>chambers</t>
  </si>
  <si>
    <t>DESIGN CRITERIA - BASED ON STORAGE VOLUME</t>
  </si>
  <si>
    <t>Min. Burial Depth:</t>
  </si>
  <si>
    <t>Max. Burial Depth:</t>
  </si>
  <si>
    <t>WARNING: Burial Depth Too Shallow</t>
  </si>
  <si>
    <t>WARNING: Burial Depth Exceeds Recommendation</t>
  </si>
  <si>
    <t>Standard</t>
  </si>
  <si>
    <t>max width</t>
  </si>
  <si>
    <t>Width Calculations</t>
  </si>
  <si>
    <t>if max width &gt; target</t>
  </si>
  <si>
    <t>add 1 to each row</t>
  </si>
  <si>
    <t>take off to meet target</t>
  </si>
  <si>
    <t>totalvolume</t>
  </si>
  <si>
    <t>numberofrows</t>
  </si>
  <si>
    <t>chambersperrow</t>
  </si>
  <si>
    <t>c</t>
  </si>
  <si>
    <t>³</t>
  </si>
  <si>
    <t>²</t>
  </si>
  <si>
    <t>City / State:</t>
  </si>
  <si>
    <t>DESIGN CRITERIA - BASED ON SYSTEM DIMENSIONS</t>
  </si>
  <si>
    <t>One Value Must Be Zero</t>
  </si>
  <si>
    <t>Minimum Burial Depth</t>
  </si>
  <si>
    <t>Maximum Burial Depth</t>
  </si>
  <si>
    <t>Contact Prinsco Sales Representative</t>
  </si>
  <si>
    <t>Chamber Size</t>
  </si>
  <si>
    <t>Number of Chambers</t>
  </si>
  <si>
    <t>Metric</t>
  </si>
  <si>
    <t>Required Storage Volume</t>
  </si>
  <si>
    <t>Number of End Caps</t>
  </si>
  <si>
    <t>Bed size controlled by Length or Width?</t>
  </si>
  <si>
    <t xml:space="preserve">Bed Size (Including Perimiter Stone) </t>
  </si>
  <si>
    <t>Limiting Width or Length dimension</t>
  </si>
  <si>
    <t>Stone Required (Including Perimeter Stone)</t>
  </si>
  <si>
    <t>Stone Porosity</t>
  </si>
  <si>
    <t>Volume of Excavation</t>
  </si>
  <si>
    <t>Stone Above Chambers</t>
  </si>
  <si>
    <t>Non-Woven Filter Fabric Required (20% Safety Factor)</t>
  </si>
  <si>
    <t>Stone Foundation Depth</t>
  </si>
  <si>
    <t>Length of Isolator Row</t>
  </si>
  <si>
    <t>Average Cover Over Chambers</t>
  </si>
  <si>
    <t>Woven Isolator Row Fabric (20% Safety Factor)</t>
  </si>
  <si>
    <t>m2</t>
  </si>
  <si>
    <t>Installed Storage Volume</t>
  </si>
  <si>
    <t>Storage Volume per Chamber</t>
  </si>
  <si>
    <t xml:space="preserve">Storage Volume per End Cap </t>
  </si>
  <si>
    <t>Maximum Length</t>
  </si>
  <si>
    <t>Rows of</t>
  </si>
  <si>
    <t>Chambers</t>
  </si>
  <si>
    <t>Row of</t>
  </si>
  <si>
    <t>Maximum Width</t>
  </si>
  <si>
    <t>Inputs</t>
  </si>
  <si>
    <t>Outputs</t>
  </si>
  <si>
    <t>Constraint Type</t>
  </si>
  <si>
    <t>Pipe Diameters (IN)</t>
  </si>
  <si>
    <t># of Manifolds</t>
  </si>
  <si>
    <t>Include Volume of the Manifolds</t>
  </si>
  <si>
    <t>Chamber Storage</t>
  </si>
  <si>
    <t>cf</t>
  </si>
  <si>
    <t>HS75</t>
  </si>
  <si>
    <t>LENGTH</t>
  </si>
  <si>
    <t>12 in. (300 mm)</t>
  </si>
  <si>
    <t>Yes</t>
  </si>
  <si>
    <t>Manifold size</t>
  </si>
  <si>
    <t>Manifold Storage</t>
  </si>
  <si>
    <t>HS180</t>
  </si>
  <si>
    <t>WIDTH</t>
  </si>
  <si>
    <t>No</t>
  </si>
  <si>
    <t>Number of Manifolds</t>
  </si>
  <si>
    <t xml:space="preserve">Manifold Displacement </t>
  </si>
  <si>
    <t>Include Manifold Volume</t>
  </si>
  <si>
    <t>Stone Storage</t>
  </si>
  <si>
    <t>Total Storage</t>
  </si>
  <si>
    <t>Number of Chambers Per Row</t>
  </si>
  <si>
    <t>System Footprint</t>
  </si>
  <si>
    <t>sf</t>
  </si>
  <si>
    <t>Required Backfill (Embedment)</t>
  </si>
  <si>
    <t>CY</t>
  </si>
  <si>
    <t>Additional Stone Below Chamber</t>
  </si>
  <si>
    <t>Non-Woven Geotextile (System Perimeter)</t>
  </si>
  <si>
    <t>SY</t>
  </si>
  <si>
    <t xml:space="preserve">Additional Stone Above Chamber </t>
  </si>
  <si>
    <t>System Length (w/o Manifolds)</t>
  </si>
  <si>
    <t>ft</t>
  </si>
  <si>
    <t>Additional Stone Side of Chamber</t>
  </si>
  <si>
    <t>System Length (w/ Manifolds)</t>
  </si>
  <si>
    <t>Additional Spacing Between Chamber</t>
  </si>
  <si>
    <t>System Width</t>
  </si>
  <si>
    <t>Remove Number of Chambers</t>
  </si>
  <si>
    <t>Trench Length</t>
  </si>
  <si>
    <t>High Rim Elevation</t>
  </si>
  <si>
    <t>Trench Width</t>
  </si>
  <si>
    <t>Low Rim Elevation</t>
  </si>
  <si>
    <t>Spacing Between Chambers</t>
  </si>
  <si>
    <t>in</t>
  </si>
  <si>
    <t>in/m</t>
  </si>
  <si>
    <t>Bottom of Stone (Bottom of System)</t>
  </si>
  <si>
    <t>Chamber Width</t>
  </si>
  <si>
    <t>ft/m</t>
  </si>
  <si>
    <t>End Stone (Chamber)</t>
  </si>
  <si>
    <t>cf/cm</t>
  </si>
  <si>
    <t>End Stone (End Cap)</t>
  </si>
  <si>
    <t>cy/cm</t>
  </si>
  <si>
    <t>Bedding Height</t>
  </si>
  <si>
    <t>sy/sm</t>
  </si>
  <si>
    <t>Chamber Height</t>
  </si>
  <si>
    <t>sf/sm</t>
  </si>
  <si>
    <t>Embedment Height</t>
  </si>
  <si>
    <t>in/mm</t>
  </si>
  <si>
    <t>Initial Backfill height</t>
  </si>
  <si>
    <t>Final Backfill Height</t>
  </si>
  <si>
    <t>Conversion labels</t>
  </si>
  <si>
    <t xml:space="preserve">Stone Height </t>
  </si>
  <si>
    <t>Min. Burial Depth</t>
  </si>
  <si>
    <t>m</t>
  </si>
  <si>
    <t>Woven Geotextile - Scour</t>
  </si>
  <si>
    <t>mm</t>
  </si>
  <si>
    <t>Min Burial Depth Needed</t>
  </si>
  <si>
    <t>Max. Burial Depth Check</t>
  </si>
  <si>
    <t>Min. Burial Depth Check</t>
  </si>
  <si>
    <t>WC</t>
  </si>
  <si>
    <t>System Size</t>
  </si>
  <si>
    <t>ID (IN)</t>
  </si>
  <si>
    <t>OD (IN)</t>
  </si>
  <si>
    <t>Manifold C/C Spacing (IN)</t>
  </si>
  <si>
    <t>Column Width (FT)</t>
  </si>
  <si>
    <t>Edge Dist. (FT)</t>
  </si>
  <si>
    <t>Bedding (in)</t>
  </si>
  <si>
    <t>Tee Width (IN)</t>
  </si>
  <si>
    <t>90 Stub 
(Center to End)
(IN)</t>
  </si>
  <si>
    <t>Displacement 
SQFT</t>
  </si>
  <si>
    <t>Chamber</t>
  </si>
  <si>
    <t>Chamber Height (in)</t>
  </si>
  <si>
    <t>Chamber Width (in)</t>
  </si>
  <si>
    <t>Chamber Length (installed) (in)</t>
  </si>
  <si>
    <t>Manifold C/C Spacing (FT)</t>
  </si>
  <si>
    <t>Chamber Spacing (in)</t>
  </si>
  <si>
    <t>Height of Embedment above Chamber (in)</t>
  </si>
  <si>
    <t>Min. Initial Backfill Height (in)</t>
  </si>
  <si>
    <t>Storage Capacity (CF/Chamber)</t>
  </si>
  <si>
    <t>Length of End Cap (in)</t>
  </si>
  <si>
    <t>End Cap Storage (CF)</t>
  </si>
  <si>
    <t>Confirm distance between end cap &amp; manifold on table</t>
  </si>
  <si>
    <t>Confirm width of manifold on table</t>
  </si>
  <si>
    <t>6 inches</t>
  </si>
  <si>
    <t>Confirm extra trench length after manifold</t>
  </si>
  <si>
    <t>Warning - Burial Depth Too Shallow</t>
  </si>
  <si>
    <t>Tee Stub Length (IN)</t>
  </si>
  <si>
    <t xml:space="preserve">Endcap volumes where updated on the Tables Tab and one place in the VBA coding </t>
  </si>
  <si>
    <t>Date</t>
  </si>
  <si>
    <t>Action</t>
  </si>
  <si>
    <t>Editor</t>
  </si>
  <si>
    <t>Sam Ewald</t>
  </si>
  <si>
    <t>Version</t>
  </si>
  <si>
    <t>Coding on VBA changed so the Volume-Based tab didn't error-out when switching from standard to metric</t>
  </si>
  <si>
    <t>Print area adjusted so only one page prints</t>
  </si>
  <si>
    <t>New Logos added</t>
  </si>
  <si>
    <t>Minor changes? (SPEL Version)</t>
  </si>
  <si>
    <t>VBA Coding Module1 Changes</t>
  </si>
  <si>
    <t>Case "Metric"</t>
  </si>
  <si>
    <t>From: "syconversion = 0.1111"</t>
  </si>
  <si>
    <t xml:space="preserve">  To:  "syconversion = 0.83612"</t>
  </si>
  <si>
    <t>From: " cyconversion = 0.037037"</t>
  </si>
  <si>
    <t>To: "cyconversion = 0.76455"</t>
  </si>
  <si>
    <t>Corrected units workbook "volume-based" cell W14</t>
  </si>
  <si>
    <t>8'</t>
  </si>
  <si>
    <t>23.5"</t>
  </si>
  <si>
    <t>End Cap Length</t>
  </si>
  <si>
    <t>Chamber Length</t>
  </si>
  <si>
    <t>HS31</t>
  </si>
  <si>
    <t>Sediment Width (ft)</t>
  </si>
  <si>
    <t>HS290</t>
  </si>
  <si>
    <t>HS31 Endcap Stub Length (in)</t>
  </si>
  <si>
    <t>HS75 Endcap Stub Length (in)</t>
  </si>
  <si>
    <t>HS180 Endcap Stub Length (in)</t>
  </si>
  <si>
    <t>HS290 Endcap Stub Length (in)</t>
  </si>
  <si>
    <t>OD Volume Displacement (CF/FT)</t>
  </si>
  <si>
    <t>ID Storage Capacity (CF/FT)</t>
  </si>
  <si>
    <t>ID Volume of Tee (CF)</t>
  </si>
  <si>
    <t>OD Volume Displacement of Tee (CF)</t>
  </si>
  <si>
    <t>ID Volume of 90 Elbow (CF)</t>
  </si>
  <si>
    <t>Tee System Length (in)</t>
  </si>
  <si>
    <t>Edge Dist from edge of chamber. (in)</t>
  </si>
  <si>
    <t>End Dist from edge of endcap (in)</t>
  </si>
  <si>
    <t>Endcap Stub Lenth (1 side)</t>
  </si>
  <si>
    <t>Manifold Tee/Elbow Overall Length (1 side)</t>
  </si>
  <si>
    <t>perimeter</t>
  </si>
  <si>
    <t>side1</t>
  </si>
  <si>
    <t>side2</t>
  </si>
  <si>
    <t>side3</t>
  </si>
  <si>
    <t>side4</t>
  </si>
  <si>
    <t>side5</t>
  </si>
  <si>
    <t>side6</t>
  </si>
  <si>
    <t>systemfootprint</t>
  </si>
  <si>
    <t>trenchlength</t>
  </si>
  <si>
    <t>maxrowvolume</t>
  </si>
  <si>
    <t>systemwidth</t>
  </si>
  <si>
    <t>systemlength</t>
  </si>
  <si>
    <t>rows1</t>
  </si>
  <si>
    <t>chambers1</t>
  </si>
  <si>
    <t>nonwoven calc</t>
  </si>
  <si>
    <t>system height</t>
  </si>
  <si>
    <t>nonwovengeotextile</t>
  </si>
  <si>
    <t>Min cover height above chamber</t>
  </si>
  <si>
    <t xml:space="preserve">Max RIM </t>
  </si>
  <si>
    <t>Min RIM</t>
  </si>
  <si>
    <t>Warning - Burial Depth Too Deep</t>
  </si>
  <si>
    <t>Additional Calculations (Standard)</t>
  </si>
  <si>
    <t>Additional Calculations (Metric)</t>
  </si>
  <si>
    <t>Conversion Column</t>
  </si>
  <si>
    <t xml:space="preserve">Conversions Key </t>
  </si>
  <si>
    <t>Final LB Outputs</t>
  </si>
  <si>
    <t>inch values</t>
  </si>
  <si>
    <t>Bottom of Bedding Elevation</t>
  </si>
  <si>
    <t>Min Allowed Elevation</t>
  </si>
  <si>
    <t>Max Allowed Elevation</t>
  </si>
  <si>
    <t>Min height above chamber</t>
  </si>
  <si>
    <t>Max height above chamber</t>
  </si>
  <si>
    <t>Added in HS31 and HS290 with HS290 turned off until product release</t>
  </si>
  <si>
    <t>Lots of changes to calcs, inputs, exports modified at this time</t>
  </si>
  <si>
    <t>Changed some formulas in Layout-based calculator to solve "#REF" issues with referencing manifold diamter</t>
  </si>
  <si>
    <t xml:space="preserve">Sam Ewald </t>
  </si>
  <si>
    <t xml:space="preserve">Fixed print view on layout-based calculator </t>
  </si>
  <si>
    <t>Fixed metric for layout-based manifold volume quantities</t>
  </si>
  <si>
    <t>**</t>
  </si>
  <si>
    <t>**For Metric units, visit Prinsco.com</t>
  </si>
  <si>
    <t>Standard Units Calculator</t>
  </si>
  <si>
    <t>max 51</t>
  </si>
  <si>
    <t>min 52</t>
  </si>
  <si>
    <t xml:space="preserve">Picture Selector </t>
  </si>
  <si>
    <t>=VLOOKUP(C4,Tables!C15:Q18,11,0)</t>
  </si>
  <si>
    <t>Added HS290 functions</t>
  </si>
  <si>
    <t>Max. Burial Depth</t>
  </si>
  <si>
    <t>Changed row spacing for HS180 from 8" to 6" and cover heights from 24" to 18".</t>
  </si>
  <si>
    <t>Amelie Dulas</t>
  </si>
  <si>
    <r>
      <t xml:space="preserve">LB Calc: Trench length coding changed; now if there's 0 manifolds, it adds 2*end stone (usually 2'). If 1 man, 1 end stone+ 1 ft extra (2'). If 2 man, 2 ft extra.  Was adding 2' in all scenarios even though HS180 has less spacing.
VB Calc: Changed min cover for HS180 from 24" to 18". Trenchlength now changed to =side1 as this is calculated using varying endcaptotrench variable instead of previous calculation adding 2' to systemlength. Accounts for HS180 difference in spacing of 6" compared to 12" for all other chambers. 
</t>
    </r>
    <r>
      <rPr>
        <b/>
        <sz val="11"/>
        <color theme="1"/>
        <rFont val="Calibri"/>
        <family val="2"/>
        <scheme val="minor"/>
      </rPr>
      <t>Also NOTE: made calculator faster by going on Layout-Based Calculator tab&gt;Find &amp; Select&gt;Selection pane. Then select all extra images hidden behind the top view image. Do this when copying or creating new versions as it seems to duplicate images each time a version is copied.</t>
    </r>
  </si>
  <si>
    <t>pink is update to spacing and cover for HS31 2025</t>
  </si>
  <si>
    <t>Values below based on Pipe Gallery 4.9 (2025)</t>
  </si>
  <si>
    <t>Bryce Erickson</t>
  </si>
  <si>
    <t>Liner Mesh</t>
  </si>
  <si>
    <t>Increments</t>
  </si>
  <si>
    <t>System Type</t>
  </si>
  <si>
    <t>Retention</t>
  </si>
  <si>
    <t>Detention</t>
  </si>
  <si>
    <t>Thermoplastic Liner</t>
  </si>
  <si>
    <t>Fudge Factor</t>
  </si>
  <si>
    <t>Liner Length</t>
  </si>
  <si>
    <t>Liner Type</t>
  </si>
  <si>
    <t>Final Liner Width</t>
  </si>
  <si>
    <t>Liner calculations</t>
  </si>
  <si>
    <t>Liner Width Adjusment Factor</t>
  </si>
  <si>
    <t>Liner Width Before Adjusment</t>
  </si>
  <si>
    <t>Liner Area</t>
  </si>
  <si>
    <t>Woven Geotextile</t>
  </si>
  <si>
    <t>Number of Rows</t>
  </si>
  <si>
    <t>Endcap Stub Length</t>
  </si>
  <si>
    <t xml:space="preserve">LB Calc: Added thermoplastic liner calculations and updated geotextile equations to match systems calc 6.6, combined scour and sediment row geotextile to just show as woven geotextile to match systems calc. Updated pipe and chamber values to match the chamber specs
VB Calc: Added thermoplastic liner calculations and updated geotextile equations to match systems calc 6.6, combined scour and sediment row geotextile to just show as woven geotextile to match systems calc. Updated pipe and chamber values  to match the chamber specs
</t>
  </si>
  <si>
    <t>Max Cover (ft)</t>
  </si>
  <si>
    <t>Max cover (ft)</t>
  </si>
  <si>
    <t>24"</t>
  </si>
  <si>
    <t>7'</t>
  </si>
  <si>
    <t>V-6.7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</si>
</sst>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0"/>
    <numFmt numFmtId="165" formatCode="0.0\'"/>
    <numFmt numFmtId="166" formatCode="0\'\'"/>
    <numFmt numFmtId="167" formatCode="0.0\'\'"/>
    <numFmt numFmtId="168" formatCode="0.0000"/>
    <numFmt numFmtId="169" formatCode="0.000"/>
    <numFmt numFmtId="170" formatCode="0.0000\'"/>
    <numFmt numFmtId="171" formatCode="0.00000\'"/>
    <numFmt numFmtId="172" formatCode="0.000\'"/>
  </numFmts>
  <fonts count="44">
    <font>
      <sz val="11"/>
      <color theme="1"/>
      <name val="Calibri"/>
      <family val="2"/>
      <scheme val="minor"/>
    </font>
    <font>
      <b/>
      <sz val="11"/>
      <color theme="1"/>
      <name val="Calibri"/>
      <family val="2"/>
      <scheme val="minor"/>
    </font>
    <font>
      <sz val="12"/>
      <color theme="1"/>
      <name val="Calibri"/>
      <family val="2"/>
      <scheme val="minor"/>
    </font>
    <font>
      <sz val="11"/>
      <color rgb="FF000000"/>
      <name val="Calibri"/>
      <family val="2"/>
      <scheme val="minor"/>
    </font>
    <font>
      <sz val="11"/>
      <color rgb="FFFFFFFF"/>
      <name val="Calibri"/>
      <family val="2"/>
      <scheme val="minor"/>
    </font>
    <font>
      <sz val="8"/>
      <color theme="1"/>
      <name val="Arial"/>
      <family val="2"/>
    </font>
    <font>
      <sz val="14"/>
      <color theme="0"/>
      <name val="Arial"/>
      <family val="2"/>
    </font>
    <font>
      <sz val="9"/>
      <color theme="0"/>
      <name val="Arial"/>
      <family val="2"/>
    </font>
    <font>
      <sz val="8"/>
      <name val="Arial"/>
      <family val="2"/>
    </font>
    <font>
      <sz val="10"/>
      <color theme="1"/>
      <name val="Calibri"/>
      <family val="2"/>
      <scheme val="minor"/>
    </font>
    <font>
      <sz val="12"/>
      <color theme="0"/>
      <name val="Arial"/>
      <family val="2"/>
    </font>
    <font>
      <sz val="8"/>
      <color theme="0"/>
      <name val="Arial"/>
      <family val="2"/>
    </font>
    <font>
      <sz val="8"/>
      <color rgb="FF4171B4"/>
      <name val="Arial"/>
      <family val="2"/>
    </font>
    <font>
      <sz val="6"/>
      <color theme="1"/>
      <name val="Arial"/>
      <family val="2"/>
    </font>
    <font>
      <b/>
      <sz val="10"/>
      <color theme="1"/>
      <name val="Arial"/>
      <family val="2"/>
    </font>
    <font>
      <sz val="7"/>
      <color theme="1"/>
      <name val="Arial"/>
      <family val="2"/>
    </font>
    <font>
      <b/>
      <sz val="8"/>
      <color theme="1"/>
      <name val="Arial"/>
      <family val="2"/>
    </font>
    <font>
      <sz val="8"/>
      <color rgb="FFFFFFFF"/>
      <name val="Arial"/>
      <family val="2"/>
    </font>
    <font>
      <sz val="16"/>
      <color rgb="FF000000"/>
      <name val="Calibri"/>
      <family val="2"/>
    </font>
    <font>
      <sz val="11"/>
      <color rgb="FFFF0000"/>
      <name val="Calibri"/>
      <family val="2"/>
      <scheme val="minor"/>
    </font>
    <font>
      <sz val="8"/>
      <color rgb="FFFF0000"/>
      <name val="Arial"/>
      <family val="2"/>
    </font>
    <font>
      <b/>
      <sz val="8"/>
      <name val="Arial"/>
      <family val="2"/>
    </font>
    <font>
      <sz val="11"/>
      <name val="Calibri"/>
      <family val="2"/>
      <scheme val="minor"/>
    </font>
    <font>
      <sz val="18"/>
      <color rgb="FFFF0000"/>
      <name val="Calibri"/>
      <family val="2"/>
      <scheme val="minor"/>
    </font>
    <font>
      <sz val="11"/>
      <color theme="0" tint="-0.249977111117893"/>
      <name val="Calibri"/>
      <family val="2"/>
      <scheme val="minor"/>
    </font>
    <font>
      <sz val="11"/>
      <color theme="0" tint="-0.249977111117893"/>
      <name val="Calibri (body)"/>
    </font>
    <font>
      <sz val="11"/>
      <color theme="0" tint="-0.249977111117893"/>
      <name val="Calibri(body)"/>
    </font>
    <font>
      <sz val="11"/>
      <color theme="0" tint="-0.249977111117893"/>
      <name val="Calibri"/>
      <family val="2"/>
    </font>
    <font>
      <sz val="8"/>
      <color theme="0" tint="-0.249977111117893"/>
      <name val="Arial"/>
      <family val="2"/>
    </font>
    <font>
      <sz val="7"/>
      <name val="Arial"/>
      <family val="2"/>
    </font>
    <font>
      <sz val="8"/>
      <name val="Calibri"/>
      <family val="2"/>
      <scheme val="minor"/>
    </font>
    <font>
      <b/>
      <sz val="9"/>
      <color indexed="81"/>
      <name val="Tahoma"/>
      <family val="2"/>
    </font>
    <font>
      <sz val="9"/>
      <color indexed="81"/>
      <name val="Tahoma"/>
      <family val="2"/>
    </font>
    <font>
      <sz val="8"/>
      <color rgb="FF000000"/>
      <name val="Arial"/>
      <family val="2"/>
    </font>
    <font>
      <b/>
      <sz val="8"/>
      <color rgb="FF000000"/>
      <name val="Arial"/>
      <family val="2"/>
    </font>
    <font>
      <sz val="7"/>
      <color rgb="FF000000"/>
      <name val="Arial"/>
      <family val="2"/>
    </font>
    <font>
      <b/>
      <sz val="7"/>
      <color theme="1"/>
      <name val="Arial"/>
      <family val="2"/>
    </font>
    <font>
      <b/>
      <sz val="22"/>
      <color theme="1"/>
      <name val="Arial"/>
      <family val="2"/>
    </font>
    <font>
      <b/>
      <sz val="16"/>
      <color theme="1"/>
      <name val="Arial"/>
      <family val="2"/>
    </font>
    <font>
      <sz val="7"/>
      <color rgb="FFFF0000"/>
      <name val="Arial"/>
      <family val="2"/>
    </font>
    <font>
      <sz val="8"/>
      <color rgb="FFFF00FF"/>
      <name val="Arial"/>
      <family val="2"/>
    </font>
    <font>
      <sz val="8"/>
      <color theme="1"/>
      <name val="Calibri"/>
      <family val="2"/>
      <scheme val="minor"/>
    </font>
    <font>
      <sz val="11"/>
      <color indexed="81"/>
      <name val="Tahoma"/>
      <family val="2"/>
    </font>
    <font>
      <b/>
      <sz val="11"/>
      <color indexed="81"/>
      <name val="Tahoma"/>
      <family val="2"/>
    </font>
  </fonts>
  <fills count="10">
    <fill>
      <patternFill patternType="none"/>
    </fill>
    <fill>
      <patternFill patternType="gray125"/>
    </fill>
    <fill>
      <patternFill patternType="solid">
        <fgColor theme="0" tint="-0.249977111117893"/>
        <bgColor indexed="64"/>
      </patternFill>
    </fill>
    <fill>
      <patternFill patternType="solid">
        <fgColor rgb="FF92D050"/>
        <bgColor indexed="64"/>
      </patternFill>
    </fill>
    <fill>
      <patternFill patternType="solid">
        <fgColor rgb="FFFFFF00"/>
        <bgColor indexed="64"/>
      </patternFill>
    </fill>
    <fill>
      <patternFill patternType="solid">
        <fgColor rgb="FF4580DF"/>
        <bgColor indexed="64"/>
      </patternFill>
    </fill>
    <fill>
      <patternFill patternType="solid">
        <fgColor theme="5" tint="-0.249977111117893"/>
        <bgColor indexed="64"/>
      </patternFill>
    </fill>
    <fill>
      <patternFill patternType="solid">
        <fgColor rgb="FFFF0000"/>
        <bgColor indexed="64"/>
      </patternFill>
    </fill>
    <fill>
      <patternFill patternType="solid">
        <fgColor rgb="FF00B050"/>
        <bgColor indexed="64"/>
      </patternFill>
    </fill>
    <fill>
      <patternFill patternType="solid">
        <fgColor rgb="FFFFFFFF"/>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theme="2" tint="-0.249977111117893"/>
      </left>
      <right/>
      <top style="thin">
        <color theme="2" tint="-0.249977111117893"/>
      </top>
      <bottom style="thin">
        <color theme="2" tint="-0.249977111117893"/>
      </bottom>
      <diagonal/>
    </border>
    <border>
      <left/>
      <right style="thin">
        <color theme="2" tint="-0.249977111117893"/>
      </right>
      <top style="thin">
        <color theme="2" tint="-0.249977111117893"/>
      </top>
      <bottom style="thin">
        <color theme="2" tint="-0.249977111117893"/>
      </bottom>
      <diagonal/>
    </border>
    <border>
      <left/>
      <right/>
      <top style="thin">
        <color theme="2" tint="-0.249977111117893"/>
      </top>
      <bottom style="thin">
        <color theme="2" tint="-0.249977111117893"/>
      </bottom>
      <diagonal/>
    </border>
    <border>
      <left style="thin">
        <color theme="0"/>
      </left>
      <right style="thin">
        <color theme="0"/>
      </right>
      <top style="thin">
        <color theme="0"/>
      </top>
      <bottom style="thin">
        <color theme="0"/>
      </bottom>
      <diagonal/>
    </border>
    <border>
      <left/>
      <right style="thin">
        <color theme="0"/>
      </right>
      <top/>
      <bottom style="thin">
        <color theme="0"/>
      </bottom>
      <diagonal/>
    </border>
    <border>
      <left style="thin">
        <color theme="0"/>
      </left>
      <right style="thin">
        <color theme="0"/>
      </right>
      <top/>
      <bottom style="thin">
        <color theme="0"/>
      </bottom>
      <diagonal/>
    </border>
    <border>
      <left style="thin">
        <color theme="0"/>
      </left>
      <right/>
      <top/>
      <bottom style="thin">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top style="thin">
        <color theme="0"/>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style="thin">
        <color indexed="64"/>
      </top>
      <bottom style="thin">
        <color indexed="64"/>
      </bottom>
      <diagonal/>
    </border>
  </borders>
  <cellStyleXfs count="2">
    <xf numFmtId="0" fontId="0" fillId="0" borderId="0"/>
    <xf numFmtId="0" fontId="5" fillId="0" borderId="0"/>
  </cellStyleXfs>
  <cellXfs count="222">
    <xf numFmtId="0" fontId="0" fillId="0" borderId="0" xfId="0"/>
    <xf numFmtId="0" fontId="5" fillId="0" borderId="0" xfId="1"/>
    <xf numFmtId="0" fontId="5" fillId="0" borderId="0" xfId="1" applyAlignment="1">
      <alignment horizontal="right"/>
    </xf>
    <xf numFmtId="0" fontId="5" fillId="0" borderId="0" xfId="1" applyAlignment="1">
      <alignment horizontal="center"/>
    </xf>
    <xf numFmtId="0" fontId="5" fillId="0" borderId="0" xfId="1" applyAlignment="1">
      <alignment horizontal="right" vertical="center"/>
    </xf>
    <xf numFmtId="0" fontId="5" fillId="0" borderId="0" xfId="1" applyAlignment="1">
      <alignment vertical="center"/>
    </xf>
    <xf numFmtId="0" fontId="6" fillId="0" borderId="0" xfId="1" applyFont="1" applyAlignment="1">
      <alignment horizontal="center" vertical="center"/>
    </xf>
    <xf numFmtId="0" fontId="8" fillId="0" borderId="0" xfId="1" applyFont="1" applyAlignment="1">
      <alignment vertical="center"/>
    </xf>
    <xf numFmtId="0" fontId="8" fillId="0" borderId="0" xfId="1" applyFont="1" applyAlignment="1">
      <alignment horizontal="left" vertical="center"/>
    </xf>
    <xf numFmtId="164" fontId="5" fillId="0" borderId="0" xfId="1" applyNumberFormat="1"/>
    <xf numFmtId="0" fontId="9" fillId="0" borderId="0" xfId="1" applyFont="1"/>
    <xf numFmtId="0" fontId="10" fillId="0" borderId="0" xfId="1" applyFont="1" applyAlignment="1">
      <alignment horizontal="center"/>
    </xf>
    <xf numFmtId="0" fontId="12" fillId="0" borderId="0" xfId="1" applyFont="1" applyAlignment="1">
      <alignment vertical="center"/>
    </xf>
    <xf numFmtId="0" fontId="5" fillId="0" borderId="1" xfId="1" applyBorder="1"/>
    <xf numFmtId="0" fontId="14" fillId="0" borderId="0" xfId="1" applyFont="1"/>
    <xf numFmtId="0" fontId="5" fillId="0" borderId="0" xfId="1" applyAlignment="1">
      <alignment horizontal="center" vertical="center" wrapText="1"/>
    </xf>
    <xf numFmtId="0" fontId="5" fillId="0" borderId="0" xfId="1" applyProtection="1">
      <protection locked="0"/>
    </xf>
    <xf numFmtId="0" fontId="8" fillId="0" borderId="0" xfId="1" applyFont="1"/>
    <xf numFmtId="0" fontId="5" fillId="4" borderId="0" xfId="1" applyFill="1"/>
    <xf numFmtId="0" fontId="5" fillId="0" borderId="1" xfId="1" applyBorder="1" applyAlignment="1">
      <alignment horizontal="center" vertical="center" wrapText="1"/>
    </xf>
    <xf numFmtId="2" fontId="5" fillId="0" borderId="0" xfId="1" applyNumberFormat="1"/>
    <xf numFmtId="0" fontId="5" fillId="0" borderId="6" xfId="1" applyBorder="1"/>
    <xf numFmtId="0" fontId="16" fillId="0" borderId="0" xfId="1" applyFont="1" applyAlignment="1">
      <alignment vertical="center"/>
    </xf>
    <xf numFmtId="0" fontId="5" fillId="0" borderId="7" xfId="1" applyBorder="1"/>
    <xf numFmtId="0" fontId="5" fillId="0" borderId="8" xfId="1" applyBorder="1"/>
    <xf numFmtId="0" fontId="5" fillId="0" borderId="9" xfId="1" applyBorder="1"/>
    <xf numFmtId="0" fontId="5" fillId="0" borderId="10" xfId="1" applyBorder="1"/>
    <xf numFmtId="0" fontId="5" fillId="0" borderId="11" xfId="1" applyBorder="1"/>
    <xf numFmtId="0" fontId="5" fillId="0" borderId="12" xfId="1" applyBorder="1"/>
    <xf numFmtId="0" fontId="0" fillId="0" borderId="0" xfId="0" applyAlignment="1" applyProtection="1">
      <alignment horizontal="center" vertical="center"/>
      <protection locked="0"/>
    </xf>
    <xf numFmtId="0" fontId="0" fillId="2" borderId="0" xfId="0" applyFill="1"/>
    <xf numFmtId="0" fontId="0" fillId="0" borderId="0" xfId="0" applyAlignment="1">
      <alignment horizontal="center"/>
    </xf>
    <xf numFmtId="0" fontId="0" fillId="0" borderId="0" xfId="0" applyAlignment="1">
      <alignment horizontal="center" wrapText="1"/>
    </xf>
    <xf numFmtId="0" fontId="0" fillId="0" borderId="0" xfId="0" applyAlignment="1">
      <alignment wrapText="1"/>
    </xf>
    <xf numFmtId="0" fontId="0" fillId="0" borderId="0" xfId="0" applyAlignment="1">
      <alignment vertical="center"/>
    </xf>
    <xf numFmtId="0" fontId="0" fillId="0" borderId="0" xfId="0" quotePrefix="1" applyAlignment="1">
      <alignment horizontal="center"/>
    </xf>
    <xf numFmtId="1" fontId="0" fillId="0" borderId="0" xfId="0" applyNumberFormat="1"/>
    <xf numFmtId="164" fontId="0" fillId="0" borderId="0" xfId="0" applyNumberFormat="1"/>
    <xf numFmtId="2" fontId="0" fillId="0" borderId="0" xfId="0" applyNumberFormat="1"/>
    <xf numFmtId="0" fontId="2" fillId="0" borderId="0" xfId="0" applyFont="1"/>
    <xf numFmtId="0" fontId="0" fillId="0" borderId="0" xfId="0" applyAlignment="1">
      <alignment horizontal="center" vertical="center"/>
    </xf>
    <xf numFmtId="0" fontId="4" fillId="0" borderId="0" xfId="0" applyFont="1" applyProtection="1">
      <protection locked="0"/>
    </xf>
    <xf numFmtId="0" fontId="0" fillId="0" borderId="0" xfId="0" applyAlignment="1" applyProtection="1">
      <alignment horizontal="center"/>
      <protection locked="0"/>
    </xf>
    <xf numFmtId="0" fontId="20" fillId="0" borderId="1" xfId="1" applyFont="1" applyBorder="1" applyAlignment="1">
      <alignment horizontal="center" vertical="center" wrapText="1"/>
    </xf>
    <xf numFmtId="0" fontId="0" fillId="0" borderId="0" xfId="0" applyAlignment="1">
      <alignment horizontal="center" vertical="center" wrapText="1"/>
    </xf>
    <xf numFmtId="0" fontId="0" fillId="2" borderId="0" xfId="0" applyFill="1" applyAlignment="1" applyProtection="1">
      <alignment horizontal="center" vertical="center"/>
      <protection locked="0"/>
    </xf>
    <xf numFmtId="0" fontId="3" fillId="0" borderId="0" xfId="0" applyFont="1" applyAlignment="1">
      <alignment horizontal="center" vertical="center"/>
    </xf>
    <xf numFmtId="0" fontId="8" fillId="0" borderId="0" xfId="1" applyFont="1" applyAlignment="1">
      <alignment horizontal="right" vertical="center"/>
    </xf>
    <xf numFmtId="0" fontId="8" fillId="0" borderId="0" xfId="1" applyFont="1" applyAlignment="1">
      <alignment horizontal="center" vertical="center"/>
    </xf>
    <xf numFmtId="0" fontId="22" fillId="0" borderId="0" xfId="0" applyFont="1" applyAlignment="1">
      <alignment vertical="center"/>
    </xf>
    <xf numFmtId="0" fontId="23" fillId="0" borderId="0" xfId="0" applyFont="1"/>
    <xf numFmtId="0" fontId="0" fillId="0" borderId="0" xfId="0" applyAlignment="1">
      <alignment horizontal="right"/>
    </xf>
    <xf numFmtId="0" fontId="19" fillId="2" borderId="0" xfId="0" applyFont="1" applyFill="1"/>
    <xf numFmtId="0" fontId="24" fillId="2" borderId="0" xfId="0" applyFont="1" applyFill="1"/>
    <xf numFmtId="0" fontId="24" fillId="2" borderId="0" xfId="0" applyFont="1" applyFill="1" applyProtection="1">
      <protection locked="0"/>
    </xf>
    <xf numFmtId="0" fontId="25" fillId="2" borderId="0" xfId="0" applyFont="1" applyFill="1"/>
    <xf numFmtId="0" fontId="26" fillId="2" borderId="0" xfId="0" applyFont="1" applyFill="1"/>
    <xf numFmtId="0" fontId="27" fillId="2" borderId="0" xfId="0" applyFont="1" applyFill="1"/>
    <xf numFmtId="0" fontId="24" fillId="2" borderId="0" xfId="0" applyFont="1" applyFill="1" applyAlignment="1">
      <alignment horizontal="center"/>
    </xf>
    <xf numFmtId="0" fontId="5" fillId="2" borderId="0" xfId="1" applyFill="1"/>
    <xf numFmtId="0" fontId="5" fillId="2" borderId="0" xfId="1" applyFill="1" applyAlignment="1">
      <alignment vertical="center"/>
    </xf>
    <xf numFmtId="0" fontId="28" fillId="2" borderId="0" xfId="1" applyFont="1" applyFill="1"/>
    <xf numFmtId="0" fontId="28" fillId="2" borderId="0" xfId="1" applyFont="1" applyFill="1" applyAlignment="1">
      <alignment vertical="center"/>
    </xf>
    <xf numFmtId="164" fontId="28" fillId="2" borderId="0" xfId="1" applyNumberFormat="1" applyFont="1" applyFill="1"/>
    <xf numFmtId="0" fontId="5" fillId="0" borderId="13" xfId="1" applyBorder="1"/>
    <xf numFmtId="0" fontId="5" fillId="0" borderId="14" xfId="1" applyBorder="1"/>
    <xf numFmtId="0" fontId="5" fillId="0" borderId="15" xfId="1" applyBorder="1"/>
    <xf numFmtId="0" fontId="5" fillId="0" borderId="16" xfId="1" applyBorder="1"/>
    <xf numFmtId="0" fontId="5" fillId="0" borderId="17" xfId="1" applyBorder="1"/>
    <xf numFmtId="0" fontId="5" fillId="0" borderId="16" xfId="1" applyBorder="1" applyAlignment="1">
      <alignment vertical="center"/>
    </xf>
    <xf numFmtId="0" fontId="5" fillId="0" borderId="17" xfId="1" applyBorder="1" applyAlignment="1">
      <alignment vertical="center"/>
    </xf>
    <xf numFmtId="0" fontId="11" fillId="0" borderId="0" xfId="1" applyFont="1" applyAlignment="1">
      <alignment vertical="center"/>
    </xf>
    <xf numFmtId="0" fontId="5" fillId="0" borderId="0" xfId="1" applyAlignment="1">
      <alignment horizontal="left"/>
    </xf>
    <xf numFmtId="0" fontId="8" fillId="0" borderId="16" xfId="1" applyFont="1" applyBorder="1"/>
    <xf numFmtId="0" fontId="8" fillId="0" borderId="17" xfId="1" applyFont="1" applyBorder="1"/>
    <xf numFmtId="164" fontId="8" fillId="0" borderId="17" xfId="1" applyNumberFormat="1" applyFont="1" applyBorder="1" applyAlignment="1">
      <alignment horizontal="right"/>
    </xf>
    <xf numFmtId="0" fontId="5" fillId="0" borderId="18" xfId="1" applyBorder="1"/>
    <xf numFmtId="0" fontId="5" fillId="0" borderId="19" xfId="1" applyBorder="1"/>
    <xf numFmtId="0" fontId="0" fillId="0" borderId="13" xfId="0" applyBorder="1"/>
    <xf numFmtId="0" fontId="0" fillId="0" borderId="14" xfId="0" applyBorder="1"/>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1" fontId="0" fillId="5" borderId="0" xfId="0" applyNumberFormat="1" applyFill="1" applyAlignment="1" applyProtection="1">
      <alignment horizontal="center" vertical="center"/>
      <protection locked="0"/>
    </xf>
    <xf numFmtId="0" fontId="0" fillId="5" borderId="0" xfId="0" applyFill="1" applyAlignment="1" applyProtection="1">
      <alignment horizontal="center" vertical="center"/>
      <protection locked="0"/>
    </xf>
    <xf numFmtId="0" fontId="8" fillId="0" borderId="0" xfId="1" applyFont="1" applyAlignment="1" applyProtection="1">
      <alignment vertical="center"/>
      <protection locked="0"/>
    </xf>
    <xf numFmtId="0" fontId="8" fillId="2" borderId="1" xfId="1" applyFont="1" applyFill="1" applyBorder="1" applyAlignment="1" applyProtection="1">
      <alignment horizontal="center" vertical="center"/>
      <protection locked="0"/>
    </xf>
    <xf numFmtId="0" fontId="17" fillId="0" borderId="0" xfId="1" applyFont="1"/>
    <xf numFmtId="0" fontId="11" fillId="0" borderId="16" xfId="1" applyFont="1" applyBorder="1"/>
    <xf numFmtId="0" fontId="5" fillId="3" borderId="1" xfId="1" applyFill="1" applyBorder="1" applyAlignment="1">
      <alignment horizontal="center" vertical="center" wrapText="1"/>
    </xf>
    <xf numFmtId="2" fontId="5" fillId="3" borderId="1" xfId="1" applyNumberFormat="1" applyFill="1" applyBorder="1" applyAlignment="1">
      <alignment horizontal="center" vertical="center"/>
    </xf>
    <xf numFmtId="0" fontId="5" fillId="0" borderId="1" xfId="1" applyBorder="1" applyAlignment="1">
      <alignment horizontal="center" vertical="center"/>
    </xf>
    <xf numFmtId="2" fontId="5" fillId="0" borderId="1" xfId="1" applyNumberFormat="1" applyBorder="1" applyAlignment="1">
      <alignment horizontal="center" vertical="center"/>
    </xf>
    <xf numFmtId="2" fontId="20" fillId="0" borderId="1" xfId="1" applyNumberFormat="1" applyFont="1" applyBorder="1" applyAlignment="1">
      <alignment horizontal="center" vertical="center"/>
    </xf>
    <xf numFmtId="2" fontId="5" fillId="6" borderId="1" xfId="1" applyNumberFormat="1" applyFill="1" applyBorder="1" applyAlignment="1">
      <alignment horizontal="center" vertical="center"/>
    </xf>
    <xf numFmtId="2" fontId="8" fillId="3" borderId="1" xfId="1" applyNumberFormat="1" applyFont="1" applyFill="1" applyBorder="1" applyAlignment="1">
      <alignment horizontal="center" vertical="center"/>
    </xf>
    <xf numFmtId="0" fontId="5" fillId="6" borderId="1" xfId="1" applyFill="1" applyBorder="1" applyAlignment="1">
      <alignment horizontal="center" vertical="center"/>
    </xf>
    <xf numFmtId="0" fontId="5" fillId="3" borderId="1" xfId="1" applyFill="1" applyBorder="1" applyAlignment="1">
      <alignment horizontal="center" vertical="center"/>
    </xf>
    <xf numFmtId="2" fontId="5" fillId="7" borderId="1" xfId="1" applyNumberFormat="1" applyFill="1" applyBorder="1" applyAlignment="1">
      <alignment horizontal="center" vertical="center"/>
    </xf>
    <xf numFmtId="2" fontId="5" fillId="3" borderId="1" xfId="1" applyNumberFormat="1" applyFill="1" applyBorder="1"/>
    <xf numFmtId="0" fontId="5" fillId="3" borderId="1" xfId="1" applyFill="1" applyBorder="1"/>
    <xf numFmtId="2" fontId="5" fillId="3" borderId="0" xfId="1" applyNumberFormat="1" applyFill="1"/>
    <xf numFmtId="0" fontId="33" fillId="0" borderId="0" xfId="1" applyFont="1"/>
    <xf numFmtId="0" fontId="5" fillId="0" borderId="1" xfId="1" applyBorder="1" applyAlignment="1">
      <alignment vertical="center" wrapText="1"/>
    </xf>
    <xf numFmtId="0" fontId="5" fillId="0" borderId="0" xfId="1" applyAlignment="1">
      <alignment vertical="center" wrapText="1"/>
    </xf>
    <xf numFmtId="0" fontId="5" fillId="0" borderId="0" xfId="1" applyAlignment="1">
      <alignment horizontal="center" vertical="center"/>
    </xf>
    <xf numFmtId="1" fontId="4" fillId="0" borderId="0" xfId="0" applyNumberFormat="1" applyFont="1" applyAlignment="1" applyProtection="1">
      <alignment horizontal="center" vertical="center"/>
      <protection locked="0"/>
    </xf>
    <xf numFmtId="0" fontId="22" fillId="0" borderId="0" xfId="0" applyFont="1"/>
    <xf numFmtId="0" fontId="22" fillId="2" borderId="0" xfId="0" applyFont="1" applyFill="1"/>
    <xf numFmtId="0" fontId="5" fillId="7" borderId="0" xfId="1" applyFill="1"/>
    <xf numFmtId="165" fontId="15" fillId="7" borderId="0" xfId="1" applyNumberFormat="1" applyFont="1" applyFill="1" applyAlignment="1">
      <alignment horizontal="center" vertical="center"/>
    </xf>
    <xf numFmtId="0" fontId="15" fillId="0" borderId="0" xfId="1" applyFont="1" applyAlignment="1">
      <alignment horizontal="center" vertical="center"/>
    </xf>
    <xf numFmtId="167" fontId="15" fillId="0" borderId="0" xfId="1" applyNumberFormat="1" applyFont="1" applyAlignment="1">
      <alignment horizontal="center" vertical="center"/>
    </xf>
    <xf numFmtId="164" fontId="15" fillId="0" borderId="0" xfId="1" applyNumberFormat="1" applyFont="1" applyAlignment="1">
      <alignment horizontal="center" vertical="center"/>
    </xf>
    <xf numFmtId="0" fontId="13" fillId="4" borderId="0" xfId="1" applyFont="1" applyFill="1"/>
    <xf numFmtId="164" fontId="33" fillId="0" borderId="0" xfId="1" applyNumberFormat="1" applyFont="1"/>
    <xf numFmtId="1" fontId="15" fillId="0" borderId="0" xfId="1" applyNumberFormat="1" applyFont="1" applyAlignment="1">
      <alignment horizontal="center" vertical="center"/>
    </xf>
    <xf numFmtId="169" fontId="15" fillId="0" borderId="0" xfId="1" applyNumberFormat="1" applyFont="1" applyAlignment="1">
      <alignment horizontal="center" vertical="center"/>
    </xf>
    <xf numFmtId="165" fontId="29" fillId="0" borderId="0" xfId="1" applyNumberFormat="1" applyFont="1" applyAlignment="1">
      <alignment horizontal="center" vertical="center"/>
    </xf>
    <xf numFmtId="0" fontId="5" fillId="0" borderId="0" xfId="1" quotePrefix="1" applyAlignment="1">
      <alignment horizontal="center" vertical="center"/>
    </xf>
    <xf numFmtId="165" fontId="15" fillId="0" borderId="0" xfId="1" applyNumberFormat="1" applyFont="1" applyAlignment="1">
      <alignment horizontal="center" vertical="center"/>
    </xf>
    <xf numFmtId="166" fontId="15" fillId="0" borderId="0" xfId="1" applyNumberFormat="1" applyFont="1" applyAlignment="1">
      <alignment horizontal="center" vertical="center"/>
    </xf>
    <xf numFmtId="2" fontId="15" fillId="0" borderId="0" xfId="1" applyNumberFormat="1" applyFont="1" applyAlignment="1">
      <alignment horizontal="center" vertical="center"/>
    </xf>
    <xf numFmtId="168" fontId="15" fillId="0" borderId="0" xfId="1" applyNumberFormat="1" applyFont="1" applyAlignment="1">
      <alignment horizontal="center" vertical="center"/>
    </xf>
    <xf numFmtId="0" fontId="33" fillId="4" borderId="0" xfId="1" applyFont="1" applyFill="1"/>
    <xf numFmtId="0" fontId="20" fillId="4" borderId="0" xfId="1" applyFont="1" applyFill="1"/>
    <xf numFmtId="0" fontId="33" fillId="0" borderId="21" xfId="1" applyFont="1" applyBorder="1"/>
    <xf numFmtId="0" fontId="33" fillId="0" borderId="22" xfId="1" applyFont="1" applyBorder="1"/>
    <xf numFmtId="0" fontId="33" fillId="0" borderId="23" xfId="1" applyFont="1" applyBorder="1"/>
    <xf numFmtId="0" fontId="5" fillId="0" borderId="22" xfId="1" applyBorder="1"/>
    <xf numFmtId="0" fontId="5" fillId="0" borderId="23" xfId="1" applyBorder="1"/>
    <xf numFmtId="0" fontId="5" fillId="0" borderId="24" xfId="1" applyBorder="1" applyAlignment="1">
      <alignment horizontal="center" vertical="center" wrapText="1"/>
    </xf>
    <xf numFmtId="0" fontId="5" fillId="0" borderId="25" xfId="1" applyBorder="1"/>
    <xf numFmtId="0" fontId="5" fillId="0" borderId="26" xfId="1" applyBorder="1"/>
    <xf numFmtId="0" fontId="5" fillId="0" borderId="21" xfId="1" applyBorder="1" applyAlignment="1">
      <alignment wrapText="1"/>
    </xf>
    <xf numFmtId="0" fontId="8" fillId="0" borderId="23" xfId="1" applyFont="1" applyBorder="1"/>
    <xf numFmtId="0" fontId="5" fillId="0" borderId="24" xfId="1" applyBorder="1"/>
    <xf numFmtId="0" fontId="5" fillId="0" borderId="27" xfId="1" applyBorder="1"/>
    <xf numFmtId="0" fontId="5" fillId="0" borderId="28" xfId="1" applyBorder="1"/>
    <xf numFmtId="0" fontId="5" fillId="0" borderId="29" xfId="1" applyBorder="1"/>
    <xf numFmtId="0" fontId="34" fillId="0" borderId="0" xfId="1" applyFont="1"/>
    <xf numFmtId="0" fontId="16" fillId="0" borderId="0" xfId="1" applyFont="1"/>
    <xf numFmtId="166" fontId="29" fillId="0" borderId="0" xfId="1" applyNumberFormat="1" applyFont="1" applyAlignment="1">
      <alignment horizontal="center" vertical="center"/>
    </xf>
    <xf numFmtId="164" fontId="8" fillId="0" borderId="0" xfId="1" applyNumberFormat="1" applyFont="1"/>
    <xf numFmtId="167" fontId="15" fillId="7" borderId="0" xfId="1" applyNumberFormat="1" applyFont="1" applyFill="1" applyAlignment="1">
      <alignment horizontal="center" vertical="center"/>
    </xf>
    <xf numFmtId="0" fontId="15" fillId="8" borderId="0" xfId="1" applyFont="1" applyFill="1" applyAlignment="1">
      <alignment horizontal="center" vertical="center"/>
    </xf>
    <xf numFmtId="0" fontId="35" fillId="0" borderId="0" xfId="1" applyFont="1" applyAlignment="1">
      <alignment horizontal="center" vertical="center"/>
    </xf>
    <xf numFmtId="168" fontId="15" fillId="0" borderId="0" xfId="1" quotePrefix="1" applyNumberFormat="1" applyFont="1" applyAlignment="1">
      <alignment horizontal="center" vertical="center"/>
    </xf>
    <xf numFmtId="168" fontId="36" fillId="0" borderId="0" xfId="1" applyNumberFormat="1" applyFont="1" applyAlignment="1">
      <alignment horizontal="center" vertical="center"/>
    </xf>
    <xf numFmtId="2" fontId="36" fillId="0" borderId="0" xfId="1" quotePrefix="1" applyNumberFormat="1" applyFont="1" applyAlignment="1">
      <alignment horizontal="center" vertical="center"/>
    </xf>
    <xf numFmtId="0" fontId="11" fillId="0" borderId="0" xfId="1" applyFont="1"/>
    <xf numFmtId="0" fontId="15" fillId="0" borderId="20" xfId="1" applyFont="1" applyBorder="1" applyAlignment="1">
      <alignment horizontal="center"/>
    </xf>
    <xf numFmtId="0" fontId="0" fillId="0" borderId="20" xfId="0" applyBorder="1" applyAlignment="1">
      <alignment horizontal="center"/>
    </xf>
    <xf numFmtId="0" fontId="20" fillId="0" borderId="0" xfId="1" applyFont="1"/>
    <xf numFmtId="0" fontId="37" fillId="0" borderId="0" xfId="1" applyFont="1" applyAlignment="1">
      <alignment horizontal="left" vertical="center"/>
    </xf>
    <xf numFmtId="0" fontId="2" fillId="0" borderId="0" xfId="0" applyFont="1" applyAlignment="1">
      <alignment horizontal="right" vertical="top"/>
    </xf>
    <xf numFmtId="0" fontId="2" fillId="0" borderId="0" xfId="0" applyFont="1" applyAlignment="1">
      <alignment horizontal="left" vertical="center"/>
    </xf>
    <xf numFmtId="0" fontId="9" fillId="0" borderId="0" xfId="0" applyFont="1" applyAlignment="1">
      <alignment horizontal="left" vertical="center"/>
    </xf>
    <xf numFmtId="0" fontId="5" fillId="0" borderId="0" xfId="1" applyAlignment="1">
      <alignment horizontal="right" vertical="top"/>
    </xf>
    <xf numFmtId="0" fontId="38" fillId="0" borderId="0" xfId="1" applyFont="1" applyAlignment="1">
      <alignment horizontal="left" vertical="center"/>
    </xf>
    <xf numFmtId="0" fontId="5" fillId="0" borderId="0" xfId="1" quotePrefix="1"/>
    <xf numFmtId="0" fontId="33" fillId="7" borderId="22" xfId="1" applyFont="1" applyFill="1" applyBorder="1"/>
    <xf numFmtId="2" fontId="8" fillId="3" borderId="1" xfId="1" applyNumberFormat="1" applyFont="1" applyFill="1" applyBorder="1"/>
    <xf numFmtId="2" fontId="39" fillId="0" borderId="0" xfId="1" applyNumberFormat="1" applyFont="1" applyAlignment="1">
      <alignment horizontal="center" vertical="center"/>
    </xf>
    <xf numFmtId="0" fontId="20" fillId="0" borderId="0" xfId="1" applyFont="1" applyAlignment="1">
      <alignment horizontal="left"/>
    </xf>
    <xf numFmtId="0" fontId="0" fillId="0" borderId="2" xfId="0" applyBorder="1" applyAlignment="1" applyProtection="1">
      <alignment horizontal="center"/>
      <protection locked="0"/>
    </xf>
    <xf numFmtId="0" fontId="0" fillId="0" borderId="1" xfId="0" applyBorder="1" applyAlignment="1">
      <alignment horizontal="center" vertical="center" wrapText="1"/>
    </xf>
    <xf numFmtId="14" fontId="0" fillId="0" borderId="1" xfId="0" applyNumberFormat="1" applyBorder="1" applyAlignment="1">
      <alignment horizontal="center" vertical="center"/>
    </xf>
    <xf numFmtId="0" fontId="0" fillId="0" borderId="1" xfId="0" applyBorder="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center" vertical="center"/>
    </xf>
    <xf numFmtId="0" fontId="40" fillId="0" borderId="0" xfId="1" applyFont="1" applyAlignment="1">
      <alignment horizontal="left" vertical="center"/>
    </xf>
    <xf numFmtId="1" fontId="0" fillId="5" borderId="0" xfId="0" applyNumberFormat="1" applyFill="1" applyAlignment="1">
      <alignment horizontal="center" vertical="center"/>
    </xf>
    <xf numFmtId="1" fontId="0" fillId="9" borderId="0" xfId="0" applyNumberFormat="1" applyFill="1" applyAlignment="1" applyProtection="1">
      <alignment horizontal="left" vertical="center"/>
      <protection locked="0"/>
    </xf>
    <xf numFmtId="1" fontId="0" fillId="0" borderId="0" xfId="0" applyNumberFormat="1" applyAlignment="1">
      <alignment horizontal="center" vertical="center"/>
    </xf>
    <xf numFmtId="1" fontId="0" fillId="0" borderId="0" xfId="0" applyNumberFormat="1" applyAlignment="1">
      <alignment horizontal="left" vertical="center"/>
    </xf>
    <xf numFmtId="0" fontId="41" fillId="0" borderId="0" xfId="0" applyFont="1"/>
    <xf numFmtId="0" fontId="5" fillId="0" borderId="21" xfId="1" applyBorder="1" applyAlignment="1">
      <alignment horizontal="center" vertical="center"/>
    </xf>
    <xf numFmtId="0" fontId="5" fillId="0" borderId="22" xfId="1" applyBorder="1" applyAlignment="1">
      <alignment horizontal="center" vertical="center"/>
    </xf>
    <xf numFmtId="0" fontId="5" fillId="0" borderId="23" xfId="1" applyBorder="1" applyAlignment="1">
      <alignment horizontal="center" vertical="center"/>
    </xf>
    <xf numFmtId="1" fontId="5" fillId="0" borderId="0" xfId="1" applyNumberFormat="1" applyAlignment="1">
      <alignment horizontal="center" vertical="center"/>
    </xf>
    <xf numFmtId="3" fontId="8" fillId="5" borderId="4" xfId="1" applyNumberFormat="1" applyFont="1" applyFill="1" applyBorder="1" applyAlignment="1">
      <alignment horizontal="center" vertical="center"/>
    </xf>
    <xf numFmtId="0" fontId="5" fillId="0" borderId="0" xfId="0" applyFont="1" applyAlignment="1">
      <alignment horizontal="center" vertical="center"/>
    </xf>
    <xf numFmtId="0" fontId="5" fillId="0" borderId="0" xfId="0" applyFont="1" applyAlignment="1">
      <alignment vertical="center"/>
    </xf>
    <xf numFmtId="0" fontId="5" fillId="0" borderId="27" xfId="1" applyBorder="1" applyAlignment="1">
      <alignment horizontal="center" vertical="center" wrapText="1"/>
    </xf>
    <xf numFmtId="170" fontId="15" fillId="0" borderId="0" xfId="1" applyNumberFormat="1" applyFont="1" applyAlignment="1">
      <alignment horizontal="center" vertical="center"/>
    </xf>
    <xf numFmtId="171" fontId="15" fillId="0" borderId="0" xfId="1" quotePrefix="1" applyNumberFormat="1" applyFont="1" applyAlignment="1">
      <alignment horizontal="center" vertical="center"/>
    </xf>
    <xf numFmtId="172" fontId="15" fillId="0" borderId="0" xfId="1" applyNumberFormat="1" applyFont="1" applyAlignment="1">
      <alignment horizontal="center" vertical="center"/>
    </xf>
    <xf numFmtId="0" fontId="5" fillId="0" borderId="0" xfId="0" applyFont="1"/>
    <xf numFmtId="164" fontId="5" fillId="0" borderId="0" xfId="1" applyNumberFormat="1" applyAlignment="1">
      <alignment horizontal="center"/>
    </xf>
    <xf numFmtId="3" fontId="8" fillId="5" borderId="3" xfId="1" applyNumberFormat="1" applyFont="1" applyFill="1" applyBorder="1" applyAlignment="1">
      <alignment horizontal="center" vertical="center"/>
    </xf>
    <xf numFmtId="3" fontId="8" fillId="5" borderId="4" xfId="1" applyNumberFormat="1" applyFont="1" applyFill="1" applyBorder="1" applyAlignment="1">
      <alignment horizontal="center" vertical="center"/>
    </xf>
    <xf numFmtId="3" fontId="8" fillId="5" borderId="5" xfId="1" applyNumberFormat="1" applyFont="1" applyFill="1" applyBorder="1" applyAlignment="1">
      <alignment horizontal="center" vertical="center"/>
    </xf>
    <xf numFmtId="0" fontId="5" fillId="5" borderId="0" xfId="0" applyFont="1" applyFill="1" applyAlignment="1">
      <alignment horizontal="center" vertical="center"/>
    </xf>
    <xf numFmtId="1" fontId="5" fillId="5" borderId="0" xfId="0" applyNumberFormat="1" applyFont="1" applyFill="1" applyAlignment="1">
      <alignment horizontal="center" vertical="center"/>
    </xf>
    <xf numFmtId="1" fontId="8" fillId="5" borderId="0" xfId="1" applyNumberFormat="1" applyFont="1" applyFill="1" applyAlignment="1">
      <alignment horizontal="center" vertical="center"/>
    </xf>
    <xf numFmtId="0" fontId="8" fillId="2" borderId="3" xfId="1" applyFont="1" applyFill="1" applyBorder="1" applyAlignment="1" applyProtection="1">
      <alignment horizontal="center" vertical="center"/>
      <protection locked="0"/>
    </xf>
    <xf numFmtId="0" fontId="8" fillId="2" borderId="4" xfId="1" applyFont="1" applyFill="1" applyBorder="1" applyAlignment="1" applyProtection="1">
      <alignment horizontal="center" vertical="center"/>
      <protection locked="0"/>
    </xf>
    <xf numFmtId="0" fontId="7" fillId="0" borderId="0" xfId="1" applyFont="1" applyAlignment="1">
      <alignment horizontal="center" vertical="center"/>
    </xf>
    <xf numFmtId="164" fontId="8" fillId="2" borderId="3" xfId="1" applyNumberFormat="1" applyFont="1" applyFill="1" applyBorder="1" applyAlignment="1" applyProtection="1">
      <alignment horizontal="center" vertical="center"/>
      <protection locked="0"/>
    </xf>
    <xf numFmtId="164" fontId="8" fillId="2" borderId="4" xfId="1" applyNumberFormat="1" applyFont="1" applyFill="1" applyBorder="1" applyAlignment="1" applyProtection="1">
      <alignment horizontal="center" vertical="center"/>
      <protection locked="0"/>
    </xf>
    <xf numFmtId="0" fontId="8" fillId="5" borderId="0" xfId="1" applyFont="1" applyFill="1" applyAlignment="1">
      <alignment horizontal="center" vertical="center"/>
    </xf>
    <xf numFmtId="0" fontId="5" fillId="0" borderId="30" xfId="1" applyBorder="1" applyAlignment="1" applyProtection="1">
      <alignment horizontal="center"/>
      <protection locked="0"/>
    </xf>
    <xf numFmtId="0" fontId="5" fillId="0" borderId="2" xfId="1" applyBorder="1" applyAlignment="1" applyProtection="1">
      <alignment horizontal="center"/>
      <protection locked="0"/>
    </xf>
    <xf numFmtId="0" fontId="21" fillId="5" borderId="16" xfId="1" applyFont="1" applyFill="1" applyBorder="1" applyAlignment="1">
      <alignment horizontal="center" vertical="center"/>
    </xf>
    <xf numFmtId="0" fontId="21" fillId="5" borderId="0" xfId="1" applyFont="1" applyFill="1" applyAlignment="1">
      <alignment horizontal="center" vertical="center"/>
    </xf>
    <xf numFmtId="0" fontId="21" fillId="5" borderId="17" xfId="1" applyFont="1" applyFill="1" applyBorder="1" applyAlignment="1">
      <alignment horizontal="center" vertical="center"/>
    </xf>
    <xf numFmtId="0" fontId="11" fillId="0" borderId="0" xfId="1" applyFont="1" applyAlignment="1">
      <alignment horizontal="center" wrapText="1"/>
    </xf>
    <xf numFmtId="0" fontId="1" fillId="5" borderId="16" xfId="0" applyFont="1" applyFill="1" applyBorder="1" applyAlignment="1">
      <alignment horizontal="center" vertical="center"/>
    </xf>
    <xf numFmtId="0" fontId="1" fillId="5" borderId="0" xfId="0" applyFont="1" applyFill="1" applyAlignment="1">
      <alignment horizontal="center" vertical="center"/>
    </xf>
    <xf numFmtId="0" fontId="1" fillId="5" borderId="17" xfId="0" applyFont="1" applyFill="1" applyBorder="1" applyAlignment="1">
      <alignment horizontal="center" vertical="center"/>
    </xf>
    <xf numFmtId="1" fontId="0" fillId="5" borderId="0" xfId="0" applyNumberFormat="1" applyFill="1" applyAlignment="1" applyProtection="1">
      <alignment horizontal="center" vertical="center"/>
      <protection locked="0"/>
    </xf>
    <xf numFmtId="0" fontId="0" fillId="5" borderId="0" xfId="0" applyFill="1" applyAlignment="1" applyProtection="1">
      <alignment horizontal="center" vertical="center"/>
      <protection locked="0"/>
    </xf>
    <xf numFmtId="0" fontId="0" fillId="0" borderId="0" xfId="0" applyAlignment="1">
      <alignment horizontal="right" vertical="center"/>
    </xf>
    <xf numFmtId="0" fontId="0" fillId="0" borderId="0" xfId="0" applyAlignment="1">
      <alignment horizontal="right"/>
    </xf>
    <xf numFmtId="0" fontId="0" fillId="0" borderId="0" xfId="0" applyAlignment="1">
      <alignment horizontal="center"/>
    </xf>
    <xf numFmtId="0" fontId="0" fillId="0" borderId="2" xfId="0" applyBorder="1" applyAlignment="1" applyProtection="1">
      <alignment horizontal="center"/>
      <protection locked="0"/>
    </xf>
    <xf numFmtId="1" fontId="0" fillId="5" borderId="0" xfId="0" applyNumberFormat="1" applyFill="1" applyAlignment="1">
      <alignment horizontal="center" vertical="center"/>
    </xf>
    <xf numFmtId="0" fontId="4" fillId="0" borderId="0" xfId="0" applyFont="1" applyAlignment="1" applyProtection="1">
      <alignment horizontal="left"/>
      <protection locked="0"/>
    </xf>
    <xf numFmtId="0" fontId="5" fillId="0" borderId="2" xfId="1" applyBorder="1" applyAlignment="1">
      <alignment vertical="center" wrapText="1"/>
    </xf>
  </cellXfs>
  <cellStyles count="2">
    <cellStyle name="Normal" xfId="0" builtinId="0"/>
    <cellStyle name="Normal 2" xfId="1" xr:uid="{00000000-0005-0000-0000-000001000000}"/>
  </cellStyles>
  <dxfs count="6">
    <dxf>
      <font>
        <color rgb="FFFFFFFF"/>
      </font>
      <fill>
        <patternFill patternType="none">
          <bgColor auto="1"/>
        </patternFill>
      </fill>
    </dxf>
    <dxf>
      <font>
        <color rgb="FFFFFFFF"/>
      </font>
      <fill>
        <patternFill patternType="none">
          <bgColor auto="1"/>
        </patternFill>
      </fill>
    </dxf>
    <dxf>
      <font>
        <color rgb="FFFF0000"/>
      </font>
    </dxf>
    <dxf>
      <font>
        <color rgb="FFFF0000"/>
      </font>
    </dxf>
    <dxf>
      <font>
        <color rgb="FFFF0000"/>
      </font>
    </dxf>
    <dxf>
      <font>
        <color rgb="FFFF0000"/>
      </font>
    </dxf>
  </dxfs>
  <tableStyles count="0" defaultTableStyle="TableStyleMedium2" defaultPivotStyle="PivotStyleLight16"/>
  <colors>
    <mruColors>
      <color rgb="FF4580DF"/>
      <color rgb="FFFFFFFF"/>
      <color rgb="FFFF00FF"/>
      <color rgb="FF000000"/>
      <color rgb="FFE9E24D"/>
      <color rgb="FF2FBEC1"/>
      <color rgb="FFE1EE3E"/>
      <color rgb="FFE5CF2B"/>
      <color rgb="FFDDD81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17/10/relationships/person" Target="persons/person.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activeX/activeX2.xml><?xml version="1.0" encoding="utf-8"?>
<ax:ocx xmlns:ax="http://schemas.microsoft.com/office/2006/activeX" xmlns:r="http://schemas.openxmlformats.org/officeDocument/2006/relationships" ax:classid="{8BD21D30-EC42-11CE-9E0D-00AA006002F3}" ax:persistence="persistStreamInit" r:id="rId1"/>
</file>

<file path=xl/activeX/activeX3.xml><?xml version="1.0" encoding="utf-8"?>
<ax:ocx xmlns:ax="http://schemas.microsoft.com/office/2006/activeX" xmlns:r="http://schemas.openxmlformats.org/officeDocument/2006/relationships" ax:classid="{8BD21D30-EC42-11CE-9E0D-00AA006002F3}" ax:persistence="persistStreamInit" r:id="rId1"/>
</file>

<file path=xl/activeX/activeX4.xml><?xml version="1.0" encoding="utf-8"?>
<ax:ocx xmlns:ax="http://schemas.microsoft.com/office/2006/activeX" xmlns:r="http://schemas.openxmlformats.org/officeDocument/2006/relationships" ax:classid="{8BD21D30-EC42-11CE-9E0D-00AA006002F3}" ax:persistence="persistStreamInit" r:id="rId1"/>
</file>

<file path=xl/activeX/activeX5.xml><?xml version="1.0" encoding="utf-8"?>
<ax:ocx xmlns:ax="http://schemas.microsoft.com/office/2006/activeX" xmlns:r="http://schemas.openxmlformats.org/officeDocument/2006/relationships" ax:classid="{8BD21D30-EC42-11CE-9E0D-00AA006002F3}" ax:persistence="persistStreamInit" r:id="rId1"/>
</file>

<file path=xl/activeX/activeX6.xml><?xml version="1.0" encoding="utf-8"?>
<ax:ocx xmlns:ax="http://schemas.microsoft.com/office/2006/activeX" xmlns:r="http://schemas.openxmlformats.org/officeDocument/2006/relationships" ax:classid="{8BD21D30-EC42-11CE-9E0D-00AA006002F3}" ax:persistence="persistStreamInit" r:id="rId1"/>
</file>

<file path=xl/activeX/activeX7.xml><?xml version="1.0" encoding="utf-8"?>
<ax:ocx xmlns:ax="http://schemas.microsoft.com/office/2006/activeX" xmlns:r="http://schemas.openxmlformats.org/officeDocument/2006/relationships" ax:classid="{8BD21D30-EC42-11CE-9E0D-00AA006002F3}" ax:persistence="persistStreamInit" r:id="rId1"/>
</file>

<file path=xl/activeX/activeX8.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Drop" dropLines="4" dropStyle="combo" dx="16" fmlaLink="'LB Calcs'!$A$4" fmlaRange="'LB Calcs'!$K$2:$K$5" sel="1" val="0"/>
</file>

<file path=xl/ctrlProps/ctrlProp3.xml><?xml version="1.0" encoding="utf-8"?>
<formControlPr xmlns="http://schemas.microsoft.com/office/spreadsheetml/2009/9/main" objectType="Drop" dropLines="77" dropStyle="combo" dx="16" fmlaLink="'LB Calcs'!$A$6" fmlaRange="'LB Calcs'!$N$2:$N$4" sel="2" val="0"/>
</file>

<file path=xl/ctrlProps/ctrlProp4.xml><?xml version="1.0" encoding="utf-8"?>
<formControlPr xmlns="http://schemas.microsoft.com/office/spreadsheetml/2009/9/main" objectType="Drop" dropLines="47" dropStyle="combo" dx="16" fmlaLink="'LB Calcs'!$A$7" fmlaRange="'LB Calcs'!$O$2:$O$3" sel="1" val="0"/>
</file>

<file path=xl/ctrlProps/ctrlProp5.xml><?xml version="1.0" encoding="utf-8"?>
<formControlPr xmlns="http://schemas.microsoft.com/office/spreadsheetml/2009/9/main" objectType="Drop" dropStyle="combo" dx="16" fmlaLink="Draft!$S$4" fmlaRange="Draft!$Q$4" sel="1" val="0"/>
</file>

<file path=xl/ctrlProps/ctrlProp6.xml><?xml version="1.0" encoding="utf-8"?>
<formControlPr xmlns="http://schemas.microsoft.com/office/spreadsheetml/2009/9/main" objectType="Drop" dropLines="57" dropStyle="combo" dx="16" fmlaLink="'LB Calcs'!$A$5" fmlaRange="'LB Calcs'!$M$2:$M$7" sel="4" val="0"/>
</file>

<file path=xl/ctrlProps/ctrlProp7.xml><?xml version="1.0" encoding="utf-8"?>
<formControlPr xmlns="http://schemas.microsoft.com/office/spreadsheetml/2009/9/main" objectType="Drop" dropLines="2" dropStyle="combo" dx="16" fmlaLink="'LB Calcs'!$A19" fmlaRange="'LB Calcs'!$K$12:$K$13" sel="2" val="0"/>
</file>

<file path=xl/ctrlProps/ctrlProp8.xml><?xml version="1.0" encoding="utf-8"?>
<formControlPr xmlns="http://schemas.microsoft.com/office/spreadsheetml/2009/9/main" objectType="Drop" dropLines="6" dropStyle="combo" dx="16" fmlaLink="'LB Calcs'!$A$20" fmlaRange="'LB Calcs'!$L$12:$L$17" sel="4" val="0"/>
</file>

<file path=xl/drawings/_rels/drawing1.xml.rels><?xml version="1.0" encoding="UTF-8" standalone="yes"?>
<Relationships xmlns="http://schemas.openxmlformats.org/package/2006/relationships"><Relationship Id="rId3" Type="http://schemas.openxmlformats.org/officeDocument/2006/relationships/image" Target="../media/image11.jpg"/><Relationship Id="rId2" Type="http://schemas.openxmlformats.org/officeDocument/2006/relationships/image" Target="../media/image10.jpeg"/><Relationship Id="rId1" Type="http://schemas.openxmlformats.org/officeDocument/2006/relationships/image" Target="../media/image9.jpeg"/><Relationship Id="rId6" Type="http://schemas.openxmlformats.org/officeDocument/2006/relationships/image" Target="../media/image14.png"/><Relationship Id="rId5" Type="http://schemas.openxmlformats.org/officeDocument/2006/relationships/image" Target="../media/image13.png"/><Relationship Id="rId4" Type="http://schemas.openxmlformats.org/officeDocument/2006/relationships/image" Target="../media/image12.jpg"/></Relationships>
</file>

<file path=xl/drawings/_rels/drawing2.xml.rels><?xml version="1.0" encoding="UTF-8" standalone="yes"?>
<Relationships xmlns="http://schemas.openxmlformats.org/package/2006/relationships"><Relationship Id="rId3" Type="http://schemas.openxmlformats.org/officeDocument/2006/relationships/image" Target="../media/image17.png"/><Relationship Id="rId2" Type="http://schemas.openxmlformats.org/officeDocument/2006/relationships/image" Target="../media/image16.jpeg"/><Relationship Id="rId1" Type="http://schemas.openxmlformats.org/officeDocument/2006/relationships/image" Target="../media/image15.emf"/><Relationship Id="rId4" Type="http://schemas.openxmlformats.org/officeDocument/2006/relationships/image" Target="../media/image18.png"/></Relationships>
</file>

<file path=xl/drawings/_rels/drawing4.xml.rels><?xml version="1.0" encoding="UTF-8" standalone="yes"?>
<Relationships xmlns="http://schemas.openxmlformats.org/package/2006/relationships"><Relationship Id="rId1" Type="http://schemas.openxmlformats.org/officeDocument/2006/relationships/image" Target="../media/image20.png"/></Relationships>
</file>

<file path=xl/drawings/_rels/drawing5.xml.rels><?xml version="1.0" encoding="UTF-8" standalone="yes"?>
<Relationships xmlns="http://schemas.openxmlformats.org/package/2006/relationships"><Relationship Id="rId3" Type="http://schemas.openxmlformats.org/officeDocument/2006/relationships/image" Target="../media/image23.jpeg"/><Relationship Id="rId2" Type="http://schemas.openxmlformats.org/officeDocument/2006/relationships/image" Target="../media/image22.jpeg"/><Relationship Id="rId1" Type="http://schemas.openxmlformats.org/officeDocument/2006/relationships/image" Target="../media/image21.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image" Target="../media/image7.emf"/><Relationship Id="rId7" Type="http://schemas.openxmlformats.org/officeDocument/2006/relationships/image" Target="../media/image2.emf"/><Relationship Id="rId2" Type="http://schemas.openxmlformats.org/officeDocument/2006/relationships/image" Target="../media/image6.emf"/><Relationship Id="rId1" Type="http://schemas.openxmlformats.org/officeDocument/2006/relationships/image" Target="../media/image5.emf"/><Relationship Id="rId6" Type="http://schemas.openxmlformats.org/officeDocument/2006/relationships/image" Target="../media/image3.emf"/><Relationship Id="rId5" Type="http://schemas.openxmlformats.org/officeDocument/2006/relationships/image" Target="../media/image4.emf"/><Relationship Id="rId4" Type="http://schemas.openxmlformats.org/officeDocument/2006/relationships/image" Target="../media/image8.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9.emf"/></Relationships>
</file>

<file path=xl/drawings/drawing1.xml><?xml version="1.0" encoding="utf-8"?>
<xdr:wsDr xmlns:xdr="http://schemas.openxmlformats.org/drawingml/2006/spreadsheetDrawing" xmlns:a="http://schemas.openxmlformats.org/drawingml/2006/main">
  <xdr:twoCellAnchor editAs="oneCell">
    <xdr:from>
      <xdr:col>16</xdr:col>
      <xdr:colOff>495244</xdr:colOff>
      <xdr:row>20</xdr:row>
      <xdr:rowOff>80042</xdr:rowOff>
    </xdr:from>
    <xdr:to>
      <xdr:col>31</xdr:col>
      <xdr:colOff>1984</xdr:colOff>
      <xdr:row>43</xdr:row>
      <xdr:rowOff>228386</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91862" y="4932189"/>
          <a:ext cx="6992045" cy="4608286"/>
        </a:xfrm>
        <a:prstGeom prst="rect">
          <a:avLst/>
        </a:prstGeom>
        <a:ln>
          <a:noFill/>
        </a:ln>
      </xdr:spPr>
    </xdr:pic>
    <xdr:clientData/>
  </xdr:twoCellAnchor>
  <xdr:twoCellAnchor>
    <xdr:from>
      <xdr:col>6</xdr:col>
      <xdr:colOff>610481</xdr:colOff>
      <xdr:row>12</xdr:row>
      <xdr:rowOff>19172</xdr:rowOff>
    </xdr:from>
    <xdr:to>
      <xdr:col>9</xdr:col>
      <xdr:colOff>93921</xdr:colOff>
      <xdr:row>13</xdr:row>
      <xdr:rowOff>101760</xdr:rowOff>
    </xdr:to>
    <xdr:sp macro="[0]!Sheet1.chambersize_Change" textlink="">
      <xdr:nvSpPr>
        <xdr:cNvPr id="4" name="TextBox 3">
          <a:extLst>
            <a:ext uri="{FF2B5EF4-FFF2-40B4-BE49-F238E27FC236}">
              <a16:creationId xmlns:a16="http://schemas.microsoft.com/office/drawing/2014/main" id="{00000000-0008-0000-0000-000004000000}"/>
            </a:ext>
          </a:extLst>
        </xdr:cNvPr>
        <xdr:cNvSpPr txBox="1"/>
      </xdr:nvSpPr>
      <xdr:spPr>
        <a:xfrm>
          <a:off x="4944356" y="2674266"/>
          <a:ext cx="1066971" cy="2849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Chamber Size</a:t>
          </a:r>
        </a:p>
      </xdr:txBody>
    </xdr:sp>
    <xdr:clientData/>
  </xdr:twoCellAnchor>
  <xdr:twoCellAnchor>
    <xdr:from>
      <xdr:col>2</xdr:col>
      <xdr:colOff>475824</xdr:colOff>
      <xdr:row>14</xdr:row>
      <xdr:rowOff>83670</xdr:rowOff>
    </xdr:from>
    <xdr:to>
      <xdr:col>4</xdr:col>
      <xdr:colOff>426517</xdr:colOff>
      <xdr:row>16</xdr:row>
      <xdr:rowOff>50053</xdr:rowOff>
    </xdr:to>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2507824" y="3334870"/>
          <a:ext cx="1106393" cy="4743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Target Storage Volume</a:t>
          </a:r>
        </a:p>
      </xdr:txBody>
    </xdr:sp>
    <xdr:clientData/>
  </xdr:twoCellAnchor>
  <xdr:twoCellAnchor>
    <xdr:from>
      <xdr:col>2</xdr:col>
      <xdr:colOff>77747</xdr:colOff>
      <xdr:row>16</xdr:row>
      <xdr:rowOff>61846</xdr:rowOff>
    </xdr:from>
    <xdr:to>
      <xdr:col>4</xdr:col>
      <xdr:colOff>435056</xdr:colOff>
      <xdr:row>18</xdr:row>
      <xdr:rowOff>28228</xdr:rowOff>
    </xdr:to>
    <xdr:sp macro="" textlink="">
      <xdr:nvSpPr>
        <xdr:cNvPr id="8" name="TextBox 7">
          <a:extLst>
            <a:ext uri="{FF2B5EF4-FFF2-40B4-BE49-F238E27FC236}">
              <a16:creationId xmlns:a16="http://schemas.microsoft.com/office/drawing/2014/main" id="{00000000-0008-0000-0000-000008000000}"/>
            </a:ext>
          </a:extLst>
        </xdr:cNvPr>
        <xdr:cNvSpPr txBox="1"/>
      </xdr:nvSpPr>
      <xdr:spPr>
        <a:xfrm>
          <a:off x="2109747" y="3821046"/>
          <a:ext cx="1513009" cy="474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Additional Stone Above Chamber*</a:t>
          </a:r>
        </a:p>
      </xdr:txBody>
    </xdr:sp>
    <xdr:clientData/>
  </xdr:twoCellAnchor>
  <xdr:twoCellAnchor>
    <xdr:from>
      <xdr:col>9</xdr:col>
      <xdr:colOff>390525</xdr:colOff>
      <xdr:row>12</xdr:row>
      <xdr:rowOff>142215</xdr:rowOff>
    </xdr:from>
    <xdr:to>
      <xdr:col>13</xdr:col>
      <xdr:colOff>329677</xdr:colOff>
      <xdr:row>14</xdr:row>
      <xdr:rowOff>39681</xdr:rowOff>
    </xdr:to>
    <xdr:sp macro="" textlink="">
      <xdr:nvSpPr>
        <xdr:cNvPr id="9" name="TextBox 8">
          <a:extLst>
            <a:ext uri="{FF2B5EF4-FFF2-40B4-BE49-F238E27FC236}">
              <a16:creationId xmlns:a16="http://schemas.microsoft.com/office/drawing/2014/main" id="{00000000-0008-0000-0000-000009000000}"/>
            </a:ext>
          </a:extLst>
        </xdr:cNvPr>
        <xdr:cNvSpPr txBox="1"/>
      </xdr:nvSpPr>
      <xdr:spPr>
        <a:xfrm>
          <a:off x="6307931" y="2797309"/>
          <a:ext cx="1367902" cy="49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Constraint on System Dimensions</a:t>
          </a:r>
        </a:p>
      </xdr:txBody>
    </xdr:sp>
    <xdr:clientData/>
  </xdr:twoCellAnchor>
  <xdr:twoCellAnchor>
    <xdr:from>
      <xdr:col>7</xdr:col>
      <xdr:colOff>201034</xdr:colOff>
      <xdr:row>15</xdr:row>
      <xdr:rowOff>63090</xdr:rowOff>
    </xdr:from>
    <xdr:to>
      <xdr:col>10</xdr:col>
      <xdr:colOff>17932</xdr:colOff>
      <xdr:row>15</xdr:row>
      <xdr:rowOff>353434</xdr:rowOff>
    </xdr:to>
    <xdr:sp macro="" textlink="">
      <xdr:nvSpPr>
        <xdr:cNvPr id="11" name="TextBox 10">
          <a:extLst>
            <a:ext uri="{FF2B5EF4-FFF2-40B4-BE49-F238E27FC236}">
              <a16:creationId xmlns:a16="http://schemas.microsoft.com/office/drawing/2014/main" id="{00000000-0008-0000-0000-00000B000000}"/>
            </a:ext>
          </a:extLst>
        </xdr:cNvPr>
        <xdr:cNvSpPr txBox="1"/>
      </xdr:nvSpPr>
      <xdr:spPr>
        <a:xfrm>
          <a:off x="5019563" y="3447266"/>
          <a:ext cx="1172810" cy="2903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Constraint Limit</a:t>
          </a:r>
        </a:p>
      </xdr:txBody>
    </xdr:sp>
    <xdr:clientData/>
  </xdr:twoCellAnchor>
  <mc:AlternateContent xmlns:mc="http://schemas.openxmlformats.org/markup-compatibility/2006">
    <mc:Choice xmlns:a14="http://schemas.microsoft.com/office/drawing/2010/main" Requires="a14">
      <xdr:twoCellAnchor editAs="oneCell">
        <xdr:from>
          <xdr:col>13</xdr:col>
          <xdr:colOff>323850</xdr:colOff>
          <xdr:row>13</xdr:row>
          <xdr:rowOff>57150</xdr:rowOff>
        </xdr:from>
        <xdr:to>
          <xdr:col>15</xdr:col>
          <xdr:colOff>104775</xdr:colOff>
          <xdr:row>13</xdr:row>
          <xdr:rowOff>276225</xdr:rowOff>
        </xdr:to>
        <xdr:sp macro="" textlink="">
          <xdr:nvSpPr>
            <xdr:cNvPr id="1027" name="constraintonsystem"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7</xdr:col>
      <xdr:colOff>145677</xdr:colOff>
      <xdr:row>16</xdr:row>
      <xdr:rowOff>89648</xdr:rowOff>
    </xdr:from>
    <xdr:to>
      <xdr:col>10</xdr:col>
      <xdr:colOff>40341</xdr:colOff>
      <xdr:row>18</xdr:row>
      <xdr:rowOff>56030</xdr:rowOff>
    </xdr:to>
    <xdr:sp macro="" textlink="">
      <xdr:nvSpPr>
        <xdr:cNvPr id="12" name="TextBox 11">
          <a:extLst>
            <a:ext uri="{FF2B5EF4-FFF2-40B4-BE49-F238E27FC236}">
              <a16:creationId xmlns:a16="http://schemas.microsoft.com/office/drawing/2014/main" id="{00000000-0008-0000-0000-00000C000000}"/>
            </a:ext>
          </a:extLst>
        </xdr:cNvPr>
        <xdr:cNvSpPr txBox="1"/>
      </xdr:nvSpPr>
      <xdr:spPr>
        <a:xfrm>
          <a:off x="3440206" y="3686736"/>
          <a:ext cx="1250576" cy="4706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Additional Stone Below Chamber*</a:t>
          </a:r>
        </a:p>
      </xdr:txBody>
    </xdr:sp>
    <xdr:clientData/>
  </xdr:twoCellAnchor>
  <xdr:twoCellAnchor>
    <xdr:from>
      <xdr:col>14</xdr:col>
      <xdr:colOff>617334</xdr:colOff>
      <xdr:row>12</xdr:row>
      <xdr:rowOff>144120</xdr:rowOff>
    </xdr:from>
    <xdr:to>
      <xdr:col>16</xdr:col>
      <xdr:colOff>350186</xdr:colOff>
      <xdr:row>14</xdr:row>
      <xdr:rowOff>20631</xdr:rowOff>
    </xdr:to>
    <xdr:sp macro="" textlink="">
      <xdr:nvSpPr>
        <xdr:cNvPr id="13" name="TextBox 12">
          <a:extLst>
            <a:ext uri="{FF2B5EF4-FFF2-40B4-BE49-F238E27FC236}">
              <a16:creationId xmlns:a16="http://schemas.microsoft.com/office/drawing/2014/main" id="{00000000-0008-0000-0000-00000D000000}"/>
            </a:ext>
          </a:extLst>
        </xdr:cNvPr>
        <xdr:cNvSpPr txBox="1"/>
      </xdr:nvSpPr>
      <xdr:spPr>
        <a:xfrm>
          <a:off x="8415928" y="2799214"/>
          <a:ext cx="1018727" cy="471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Number of Manifolds</a:t>
          </a:r>
        </a:p>
      </xdr:txBody>
    </xdr:sp>
    <xdr:clientData/>
  </xdr:twoCellAnchor>
  <mc:AlternateContent xmlns:mc="http://schemas.openxmlformats.org/markup-compatibility/2006">
    <mc:Choice xmlns:a14="http://schemas.microsoft.com/office/drawing/2010/main" Requires="a14">
      <xdr:twoCellAnchor editAs="oneCell">
        <xdr:from>
          <xdr:col>16</xdr:col>
          <xdr:colOff>400050</xdr:colOff>
          <xdr:row>13</xdr:row>
          <xdr:rowOff>57150</xdr:rowOff>
        </xdr:from>
        <xdr:to>
          <xdr:col>17</xdr:col>
          <xdr:colOff>504825</xdr:colOff>
          <xdr:row>13</xdr:row>
          <xdr:rowOff>304800</xdr:rowOff>
        </xdr:to>
        <xdr:sp macro="" textlink="">
          <xdr:nvSpPr>
            <xdr:cNvPr id="1028" name="numberofmanifolds"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14</xdr:col>
      <xdr:colOff>78441</xdr:colOff>
      <xdr:row>15</xdr:row>
      <xdr:rowOff>56030</xdr:rowOff>
    </xdr:from>
    <xdr:to>
      <xdr:col>15</xdr:col>
      <xdr:colOff>571500</xdr:colOff>
      <xdr:row>15</xdr:row>
      <xdr:rowOff>336177</xdr:rowOff>
    </xdr:to>
    <xdr:sp macro="" textlink="">
      <xdr:nvSpPr>
        <xdr:cNvPr id="15" name="TextBox 14">
          <a:extLst>
            <a:ext uri="{FF2B5EF4-FFF2-40B4-BE49-F238E27FC236}">
              <a16:creationId xmlns:a16="http://schemas.microsoft.com/office/drawing/2014/main" id="{00000000-0008-0000-0000-00000F000000}"/>
            </a:ext>
          </a:extLst>
        </xdr:cNvPr>
        <xdr:cNvSpPr txBox="1"/>
      </xdr:nvSpPr>
      <xdr:spPr>
        <a:xfrm>
          <a:off x="6084794" y="3272118"/>
          <a:ext cx="1098177" cy="2801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Stone Porosity</a:t>
          </a:r>
        </a:p>
      </xdr:txBody>
    </xdr:sp>
    <xdr:clientData/>
  </xdr:twoCellAnchor>
  <xdr:twoCellAnchor>
    <xdr:from>
      <xdr:col>13</xdr:col>
      <xdr:colOff>403411</xdr:colOff>
      <xdr:row>16</xdr:row>
      <xdr:rowOff>89647</xdr:rowOff>
    </xdr:from>
    <xdr:to>
      <xdr:col>15</xdr:col>
      <xdr:colOff>589428</xdr:colOff>
      <xdr:row>18</xdr:row>
      <xdr:rowOff>56029</xdr:rowOff>
    </xdr:to>
    <xdr:sp macro="" textlink="">
      <xdr:nvSpPr>
        <xdr:cNvPr id="16" name="TextBox 15">
          <a:extLst>
            <a:ext uri="{FF2B5EF4-FFF2-40B4-BE49-F238E27FC236}">
              <a16:creationId xmlns:a16="http://schemas.microsoft.com/office/drawing/2014/main" id="{00000000-0008-0000-0000-000010000000}"/>
            </a:ext>
          </a:extLst>
        </xdr:cNvPr>
        <xdr:cNvSpPr txBox="1"/>
      </xdr:nvSpPr>
      <xdr:spPr>
        <a:xfrm>
          <a:off x="5849470" y="3597088"/>
          <a:ext cx="1239370" cy="4706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Additional Stone Side of Chamber*</a:t>
          </a:r>
        </a:p>
      </xdr:txBody>
    </xdr:sp>
    <xdr:clientData/>
  </xdr:twoCellAnchor>
  <xdr:twoCellAnchor>
    <xdr:from>
      <xdr:col>17</xdr:col>
      <xdr:colOff>512444</xdr:colOff>
      <xdr:row>12</xdr:row>
      <xdr:rowOff>146025</xdr:rowOff>
    </xdr:from>
    <xdr:to>
      <xdr:col>19</xdr:col>
      <xdr:colOff>582521</xdr:colOff>
      <xdr:row>14</xdr:row>
      <xdr:rowOff>32269</xdr:rowOff>
    </xdr:to>
    <xdr:sp macro="" textlink="">
      <xdr:nvSpPr>
        <xdr:cNvPr id="17" name="TextBox 16">
          <a:extLst>
            <a:ext uri="{FF2B5EF4-FFF2-40B4-BE49-F238E27FC236}">
              <a16:creationId xmlns:a16="http://schemas.microsoft.com/office/drawing/2014/main" id="{00000000-0008-0000-0000-000011000000}"/>
            </a:ext>
          </a:extLst>
        </xdr:cNvPr>
        <xdr:cNvSpPr txBox="1"/>
      </xdr:nvSpPr>
      <xdr:spPr>
        <a:xfrm>
          <a:off x="10323194" y="2801119"/>
          <a:ext cx="879702" cy="4815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Manifold Diameter</a:t>
          </a:r>
        </a:p>
      </xdr:txBody>
    </xdr:sp>
    <xdr:clientData/>
  </xdr:twoCellAnchor>
  <mc:AlternateContent xmlns:mc="http://schemas.openxmlformats.org/markup-compatibility/2006">
    <mc:Choice xmlns:a14="http://schemas.microsoft.com/office/drawing/2010/main" Requires="a14">
      <xdr:twoCellAnchor editAs="oneCell">
        <xdr:from>
          <xdr:col>20</xdr:col>
          <xdr:colOff>0</xdr:colOff>
          <xdr:row>13</xdr:row>
          <xdr:rowOff>57150</xdr:rowOff>
        </xdr:from>
        <xdr:to>
          <xdr:col>22</xdr:col>
          <xdr:colOff>76200</xdr:colOff>
          <xdr:row>13</xdr:row>
          <xdr:rowOff>314325</xdr:rowOff>
        </xdr:to>
        <xdr:sp macro="" textlink="">
          <xdr:nvSpPr>
            <xdr:cNvPr id="1029" name="manifolddiameter"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19</xdr:col>
      <xdr:colOff>0</xdr:colOff>
      <xdr:row>14</xdr:row>
      <xdr:rowOff>89646</xdr:rowOff>
    </xdr:from>
    <xdr:to>
      <xdr:col>21</xdr:col>
      <xdr:colOff>526676</xdr:colOff>
      <xdr:row>16</xdr:row>
      <xdr:rowOff>33617</xdr:rowOff>
    </xdr:to>
    <xdr:sp macro="" textlink="">
      <xdr:nvSpPr>
        <xdr:cNvPr id="19" name="TextBox 18">
          <a:extLst>
            <a:ext uri="{FF2B5EF4-FFF2-40B4-BE49-F238E27FC236}">
              <a16:creationId xmlns:a16="http://schemas.microsoft.com/office/drawing/2014/main" id="{00000000-0008-0000-0000-000013000000}"/>
            </a:ext>
          </a:extLst>
        </xdr:cNvPr>
        <xdr:cNvSpPr txBox="1"/>
      </xdr:nvSpPr>
      <xdr:spPr>
        <a:xfrm>
          <a:off x="8606118" y="3182470"/>
          <a:ext cx="1232646" cy="4482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Bottom of Stone Elevation</a:t>
          </a:r>
        </a:p>
      </xdr:txBody>
    </xdr:sp>
    <xdr:clientData/>
  </xdr:twoCellAnchor>
  <xdr:twoCellAnchor>
    <xdr:from>
      <xdr:col>17</xdr:col>
      <xdr:colOff>560294</xdr:colOff>
      <xdr:row>16</xdr:row>
      <xdr:rowOff>78441</xdr:rowOff>
    </xdr:from>
    <xdr:to>
      <xdr:col>21</xdr:col>
      <xdr:colOff>544604</xdr:colOff>
      <xdr:row>18</xdr:row>
      <xdr:rowOff>190500</xdr:rowOff>
    </xdr:to>
    <xdr:sp macro="" textlink="">
      <xdr:nvSpPr>
        <xdr:cNvPr id="20" name="TextBox 19">
          <a:extLst>
            <a:ext uri="{FF2B5EF4-FFF2-40B4-BE49-F238E27FC236}">
              <a16:creationId xmlns:a16="http://schemas.microsoft.com/office/drawing/2014/main" id="{00000000-0008-0000-0000-000014000000}"/>
            </a:ext>
          </a:extLst>
        </xdr:cNvPr>
        <xdr:cNvSpPr txBox="1"/>
      </xdr:nvSpPr>
      <xdr:spPr>
        <a:xfrm>
          <a:off x="10139723" y="3929262"/>
          <a:ext cx="1494702" cy="6155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Additional Stone Between Chambers Rows*</a:t>
          </a:r>
        </a:p>
      </xdr:txBody>
    </xdr:sp>
    <xdr:clientData/>
  </xdr:twoCellAnchor>
  <xdr:twoCellAnchor>
    <xdr:from>
      <xdr:col>23</xdr:col>
      <xdr:colOff>17794</xdr:colOff>
      <xdr:row>12</xdr:row>
      <xdr:rowOff>146025</xdr:rowOff>
    </xdr:from>
    <xdr:to>
      <xdr:col>25</xdr:col>
      <xdr:colOff>68524</xdr:colOff>
      <xdr:row>14</xdr:row>
      <xdr:rowOff>52568</xdr:rowOff>
    </xdr:to>
    <xdr:sp macro="" textlink="">
      <xdr:nvSpPr>
        <xdr:cNvPr id="21" name="TextBox 20">
          <a:extLst>
            <a:ext uri="{FF2B5EF4-FFF2-40B4-BE49-F238E27FC236}">
              <a16:creationId xmlns:a16="http://schemas.microsoft.com/office/drawing/2014/main" id="{00000000-0008-0000-0000-000015000000}"/>
            </a:ext>
          </a:extLst>
        </xdr:cNvPr>
        <xdr:cNvSpPr txBox="1"/>
      </xdr:nvSpPr>
      <xdr:spPr>
        <a:xfrm>
          <a:off x="12662232" y="2801119"/>
          <a:ext cx="1241355" cy="5018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Include</a:t>
          </a:r>
          <a:r>
            <a:rPr lang="en-US" sz="1100" baseline="0"/>
            <a:t> Manifold Volume?</a:t>
          </a:r>
          <a:endParaRPr lang="en-US" sz="1100"/>
        </a:p>
      </xdr:txBody>
    </xdr:sp>
    <xdr:clientData/>
  </xdr:twoCellAnchor>
  <mc:AlternateContent xmlns:mc="http://schemas.openxmlformats.org/markup-compatibility/2006">
    <mc:Choice xmlns:a14="http://schemas.microsoft.com/office/drawing/2010/main" Requires="a14">
      <xdr:twoCellAnchor editAs="oneCell">
        <xdr:from>
          <xdr:col>25</xdr:col>
          <xdr:colOff>161925</xdr:colOff>
          <xdr:row>13</xdr:row>
          <xdr:rowOff>57150</xdr:rowOff>
        </xdr:from>
        <xdr:to>
          <xdr:col>27</xdr:col>
          <xdr:colOff>180975</xdr:colOff>
          <xdr:row>13</xdr:row>
          <xdr:rowOff>314325</xdr:rowOff>
        </xdr:to>
        <xdr:sp macro="" textlink="">
          <xdr:nvSpPr>
            <xdr:cNvPr id="1030" name="includemanifoldvolume"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23</xdr:col>
      <xdr:colOff>143436</xdr:colOff>
      <xdr:row>14</xdr:row>
      <xdr:rowOff>107576</xdr:rowOff>
    </xdr:from>
    <xdr:to>
      <xdr:col>25</xdr:col>
      <xdr:colOff>244289</xdr:colOff>
      <xdr:row>17</xdr:row>
      <xdr:rowOff>71717</xdr:rowOff>
    </xdr:to>
    <xdr:sp macro="" textlink="">
      <xdr:nvSpPr>
        <xdr:cNvPr id="23" name="TextBox 22">
          <a:extLst>
            <a:ext uri="{FF2B5EF4-FFF2-40B4-BE49-F238E27FC236}">
              <a16:creationId xmlns:a16="http://schemas.microsoft.com/office/drawing/2014/main" id="{00000000-0008-0000-0000-000017000000}"/>
            </a:ext>
          </a:extLst>
        </xdr:cNvPr>
        <xdr:cNvSpPr txBox="1"/>
      </xdr:nvSpPr>
      <xdr:spPr>
        <a:xfrm>
          <a:off x="10524565" y="3092823"/>
          <a:ext cx="1275230" cy="6006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Max. Pavement Elevation</a:t>
          </a:r>
        </a:p>
      </xdr:txBody>
    </xdr:sp>
    <xdr:clientData/>
  </xdr:twoCellAnchor>
  <xdr:twoCellAnchor>
    <xdr:from>
      <xdr:col>27</xdr:col>
      <xdr:colOff>116543</xdr:colOff>
      <xdr:row>14</xdr:row>
      <xdr:rowOff>11204</xdr:rowOff>
    </xdr:from>
    <xdr:to>
      <xdr:col>29</xdr:col>
      <xdr:colOff>44213</xdr:colOff>
      <xdr:row>17</xdr:row>
      <xdr:rowOff>17929</xdr:rowOff>
    </xdr:to>
    <xdr:sp macro="" textlink="">
      <xdr:nvSpPr>
        <xdr:cNvPr id="24" name="TextBox 23">
          <a:extLst>
            <a:ext uri="{FF2B5EF4-FFF2-40B4-BE49-F238E27FC236}">
              <a16:creationId xmlns:a16="http://schemas.microsoft.com/office/drawing/2014/main" id="{00000000-0008-0000-0000-000018000000}"/>
            </a:ext>
          </a:extLst>
        </xdr:cNvPr>
        <xdr:cNvSpPr txBox="1"/>
      </xdr:nvSpPr>
      <xdr:spPr>
        <a:xfrm>
          <a:off x="12550590" y="2996451"/>
          <a:ext cx="994470" cy="6432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Min. Pavement Elevation</a:t>
          </a:r>
        </a:p>
      </xdr:txBody>
    </xdr:sp>
    <xdr:clientData/>
  </xdr:twoCellAnchor>
  <xdr:twoCellAnchor>
    <xdr:from>
      <xdr:col>3</xdr:col>
      <xdr:colOff>268941</xdr:colOff>
      <xdr:row>46</xdr:row>
      <xdr:rowOff>131414</xdr:rowOff>
    </xdr:from>
    <xdr:to>
      <xdr:col>6</xdr:col>
      <xdr:colOff>224117</xdr:colOff>
      <xdr:row>48</xdr:row>
      <xdr:rowOff>52973</xdr:rowOff>
    </xdr:to>
    <xdr:sp macro="" textlink="">
      <xdr:nvSpPr>
        <xdr:cNvPr id="25" name="TextBox 24">
          <a:extLst>
            <a:ext uri="{FF2B5EF4-FFF2-40B4-BE49-F238E27FC236}">
              <a16:creationId xmlns:a16="http://schemas.microsoft.com/office/drawing/2014/main" id="{00000000-0008-0000-0000-000019000000}"/>
            </a:ext>
          </a:extLst>
        </xdr:cNvPr>
        <xdr:cNvSpPr txBox="1"/>
      </xdr:nvSpPr>
      <xdr:spPr>
        <a:xfrm>
          <a:off x="1637077" y="9552505"/>
          <a:ext cx="1375267" cy="4064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System Layout</a:t>
          </a:r>
        </a:p>
      </xdr:txBody>
    </xdr:sp>
    <xdr:clientData/>
  </xdr:twoCellAnchor>
  <xdr:twoCellAnchor>
    <xdr:from>
      <xdr:col>11</xdr:col>
      <xdr:colOff>150915</xdr:colOff>
      <xdr:row>46</xdr:row>
      <xdr:rowOff>89065</xdr:rowOff>
    </xdr:from>
    <xdr:to>
      <xdr:col>14</xdr:col>
      <xdr:colOff>316383</xdr:colOff>
      <xdr:row>48</xdr:row>
      <xdr:rowOff>10624</xdr:rowOff>
    </xdr:to>
    <xdr:sp macro="" textlink="">
      <xdr:nvSpPr>
        <xdr:cNvPr id="26" name="TextBox 25">
          <a:extLst>
            <a:ext uri="{FF2B5EF4-FFF2-40B4-BE49-F238E27FC236}">
              <a16:creationId xmlns:a16="http://schemas.microsoft.com/office/drawing/2014/main" id="{00000000-0008-0000-0000-00001A000000}"/>
            </a:ext>
          </a:extLst>
        </xdr:cNvPr>
        <xdr:cNvSpPr txBox="1"/>
      </xdr:nvSpPr>
      <xdr:spPr>
        <a:xfrm>
          <a:off x="4844142" y="9510156"/>
          <a:ext cx="1360423" cy="4064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System Footprint</a:t>
          </a:r>
        </a:p>
      </xdr:txBody>
    </xdr:sp>
    <xdr:clientData/>
  </xdr:twoCellAnchor>
  <xdr:twoCellAnchor>
    <xdr:from>
      <xdr:col>15</xdr:col>
      <xdr:colOff>217</xdr:colOff>
      <xdr:row>46</xdr:row>
      <xdr:rowOff>92307</xdr:rowOff>
    </xdr:from>
    <xdr:to>
      <xdr:col>17</xdr:col>
      <xdr:colOff>146289</xdr:colOff>
      <xdr:row>48</xdr:row>
      <xdr:rowOff>19581</xdr:rowOff>
    </xdr:to>
    <xdr:sp macro="" textlink="">
      <xdr:nvSpPr>
        <xdr:cNvPr id="27" name="TextBox 26">
          <a:extLst>
            <a:ext uri="{FF2B5EF4-FFF2-40B4-BE49-F238E27FC236}">
              <a16:creationId xmlns:a16="http://schemas.microsoft.com/office/drawing/2014/main" id="{00000000-0008-0000-0000-00001B000000}"/>
            </a:ext>
          </a:extLst>
        </xdr:cNvPr>
        <xdr:cNvSpPr txBox="1"/>
      </xdr:nvSpPr>
      <xdr:spPr>
        <a:xfrm>
          <a:off x="8441748" y="9903057"/>
          <a:ext cx="1515291" cy="3916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Stone Storage</a:t>
          </a:r>
        </a:p>
      </xdr:txBody>
    </xdr:sp>
    <xdr:clientData/>
  </xdr:twoCellAnchor>
  <xdr:twoCellAnchor>
    <xdr:from>
      <xdr:col>19</xdr:col>
      <xdr:colOff>198338</xdr:colOff>
      <xdr:row>46</xdr:row>
      <xdr:rowOff>88497</xdr:rowOff>
    </xdr:from>
    <xdr:to>
      <xdr:col>22</xdr:col>
      <xdr:colOff>244484</xdr:colOff>
      <xdr:row>48</xdr:row>
      <xdr:rowOff>10056</xdr:rowOff>
    </xdr:to>
    <xdr:sp macro="" textlink="">
      <xdr:nvSpPr>
        <xdr:cNvPr id="28" name="TextBox 27">
          <a:extLst>
            <a:ext uri="{FF2B5EF4-FFF2-40B4-BE49-F238E27FC236}">
              <a16:creationId xmlns:a16="http://schemas.microsoft.com/office/drawing/2014/main" id="{00000000-0008-0000-0000-00001C000000}"/>
            </a:ext>
          </a:extLst>
        </xdr:cNvPr>
        <xdr:cNvSpPr txBox="1"/>
      </xdr:nvSpPr>
      <xdr:spPr>
        <a:xfrm>
          <a:off x="10818713" y="9899247"/>
          <a:ext cx="1427271" cy="385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Manifold</a:t>
          </a:r>
          <a:r>
            <a:rPr lang="en-US" sz="1100" baseline="0"/>
            <a:t> Storage</a:t>
          </a:r>
          <a:endParaRPr lang="en-US" sz="1100"/>
        </a:p>
      </xdr:txBody>
    </xdr:sp>
    <xdr:clientData/>
  </xdr:twoCellAnchor>
  <xdr:twoCellAnchor>
    <xdr:from>
      <xdr:col>23</xdr:col>
      <xdr:colOff>103910</xdr:colOff>
      <xdr:row>46</xdr:row>
      <xdr:rowOff>86591</xdr:rowOff>
    </xdr:from>
    <xdr:to>
      <xdr:col>26</xdr:col>
      <xdr:colOff>78878</xdr:colOff>
      <xdr:row>48</xdr:row>
      <xdr:rowOff>8150</xdr:rowOff>
    </xdr:to>
    <xdr:sp macro="" textlink="">
      <xdr:nvSpPr>
        <xdr:cNvPr id="29" name="TextBox 28">
          <a:extLst>
            <a:ext uri="{FF2B5EF4-FFF2-40B4-BE49-F238E27FC236}">
              <a16:creationId xmlns:a16="http://schemas.microsoft.com/office/drawing/2014/main" id="{00000000-0008-0000-0000-00001D000000}"/>
            </a:ext>
          </a:extLst>
        </xdr:cNvPr>
        <xdr:cNvSpPr txBox="1"/>
      </xdr:nvSpPr>
      <xdr:spPr>
        <a:xfrm>
          <a:off x="10512137" y="9507682"/>
          <a:ext cx="1360423" cy="4064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baseline="0"/>
            <a:t>Chamber Storage</a:t>
          </a:r>
          <a:endParaRPr lang="en-US" sz="1100"/>
        </a:p>
      </xdr:txBody>
    </xdr:sp>
    <xdr:clientData/>
  </xdr:twoCellAnchor>
  <xdr:twoCellAnchor>
    <xdr:from>
      <xdr:col>26</xdr:col>
      <xdr:colOff>312446</xdr:colOff>
      <xdr:row>46</xdr:row>
      <xdr:rowOff>92677</xdr:rowOff>
    </xdr:from>
    <xdr:to>
      <xdr:col>29</xdr:col>
      <xdr:colOff>302828</xdr:colOff>
      <xdr:row>48</xdr:row>
      <xdr:rowOff>11801</xdr:rowOff>
    </xdr:to>
    <xdr:sp macro="" textlink="">
      <xdr:nvSpPr>
        <xdr:cNvPr id="30" name="TextBox 29">
          <a:extLst>
            <a:ext uri="{FF2B5EF4-FFF2-40B4-BE49-F238E27FC236}">
              <a16:creationId xmlns:a16="http://schemas.microsoft.com/office/drawing/2014/main" id="{00000000-0008-0000-0000-00001E000000}"/>
            </a:ext>
          </a:extLst>
        </xdr:cNvPr>
        <xdr:cNvSpPr txBox="1"/>
      </xdr:nvSpPr>
      <xdr:spPr>
        <a:xfrm>
          <a:off x="14397540" y="9903427"/>
          <a:ext cx="1716788" cy="38346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baseline="0"/>
            <a:t>Total System Storage</a:t>
          </a:r>
          <a:endParaRPr lang="en-US" sz="1100"/>
        </a:p>
      </xdr:txBody>
    </xdr:sp>
    <xdr:clientData/>
  </xdr:twoCellAnchor>
  <xdr:twoCellAnchor>
    <xdr:from>
      <xdr:col>1</xdr:col>
      <xdr:colOff>244764</xdr:colOff>
      <xdr:row>46</xdr:row>
      <xdr:rowOff>56573</xdr:rowOff>
    </xdr:from>
    <xdr:to>
      <xdr:col>9</xdr:col>
      <xdr:colOff>262082</xdr:colOff>
      <xdr:row>50</xdr:row>
      <xdr:rowOff>160482</xdr:rowOff>
    </xdr:to>
    <xdr:sp macro="" textlink="">
      <xdr:nvSpPr>
        <xdr:cNvPr id="5" name="Rounded Rectangle 4">
          <a:extLst>
            <a:ext uri="{FF2B5EF4-FFF2-40B4-BE49-F238E27FC236}">
              <a16:creationId xmlns:a16="http://schemas.microsoft.com/office/drawing/2014/main" id="{00000000-0008-0000-0000-000005000000}"/>
            </a:ext>
          </a:extLst>
        </xdr:cNvPr>
        <xdr:cNvSpPr/>
      </xdr:nvSpPr>
      <xdr:spPr>
        <a:xfrm>
          <a:off x="1819564" y="9848273"/>
          <a:ext cx="4360718" cy="1056409"/>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87949</xdr:colOff>
      <xdr:row>52</xdr:row>
      <xdr:rowOff>26894</xdr:rowOff>
    </xdr:from>
    <xdr:to>
      <xdr:col>5</xdr:col>
      <xdr:colOff>139903</xdr:colOff>
      <xdr:row>53</xdr:row>
      <xdr:rowOff>135421</xdr:rowOff>
    </xdr:to>
    <xdr:sp macro="" textlink="">
      <xdr:nvSpPr>
        <xdr:cNvPr id="32" name="TextBox 31">
          <a:extLst>
            <a:ext uri="{FF2B5EF4-FFF2-40B4-BE49-F238E27FC236}">
              <a16:creationId xmlns:a16="http://schemas.microsoft.com/office/drawing/2014/main" id="{00000000-0008-0000-0000-000020000000}"/>
            </a:ext>
          </a:extLst>
        </xdr:cNvPr>
        <xdr:cNvSpPr txBox="1"/>
      </xdr:nvSpPr>
      <xdr:spPr>
        <a:xfrm>
          <a:off x="1662749" y="11126694"/>
          <a:ext cx="2172854" cy="28632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Number of Chambers</a:t>
          </a:r>
        </a:p>
      </xdr:txBody>
    </xdr:sp>
    <xdr:clientData/>
  </xdr:twoCellAnchor>
  <xdr:twoCellAnchor>
    <xdr:from>
      <xdr:col>5</xdr:col>
      <xdr:colOff>279887</xdr:colOff>
      <xdr:row>52</xdr:row>
      <xdr:rowOff>48683</xdr:rowOff>
    </xdr:from>
    <xdr:to>
      <xdr:col>8</xdr:col>
      <xdr:colOff>480085</xdr:colOff>
      <xdr:row>53</xdr:row>
      <xdr:rowOff>173720</xdr:rowOff>
    </xdr:to>
    <xdr:sp macro="" textlink="">
      <xdr:nvSpPr>
        <xdr:cNvPr id="33" name="TextBox 32">
          <a:extLst>
            <a:ext uri="{FF2B5EF4-FFF2-40B4-BE49-F238E27FC236}">
              <a16:creationId xmlns:a16="http://schemas.microsoft.com/office/drawing/2014/main" id="{00000000-0008-0000-0000-000021000000}"/>
            </a:ext>
          </a:extLst>
        </xdr:cNvPr>
        <xdr:cNvSpPr txBox="1"/>
      </xdr:nvSpPr>
      <xdr:spPr>
        <a:xfrm>
          <a:off x="3973470" y="11214100"/>
          <a:ext cx="1904115" cy="304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Number of End</a:t>
          </a:r>
          <a:r>
            <a:rPr lang="en-US" sz="1100" baseline="0"/>
            <a:t> Caps</a:t>
          </a:r>
          <a:endParaRPr lang="en-US" sz="1100"/>
        </a:p>
      </xdr:txBody>
    </xdr:sp>
    <xdr:clientData/>
  </xdr:twoCellAnchor>
  <xdr:twoCellAnchor>
    <xdr:from>
      <xdr:col>9</xdr:col>
      <xdr:colOff>292831</xdr:colOff>
      <xdr:row>51</xdr:row>
      <xdr:rowOff>98342</xdr:rowOff>
    </xdr:from>
    <xdr:to>
      <xdr:col>13</xdr:col>
      <xdr:colOff>413937</xdr:colOff>
      <xdr:row>54</xdr:row>
      <xdr:rowOff>22031</xdr:rowOff>
    </xdr:to>
    <xdr:sp macro="" textlink="">
      <xdr:nvSpPr>
        <xdr:cNvPr id="34" name="TextBox 33">
          <a:extLst>
            <a:ext uri="{FF2B5EF4-FFF2-40B4-BE49-F238E27FC236}">
              <a16:creationId xmlns:a16="http://schemas.microsoft.com/office/drawing/2014/main" id="{00000000-0008-0000-0000-000022000000}"/>
            </a:ext>
          </a:extLst>
        </xdr:cNvPr>
        <xdr:cNvSpPr txBox="1"/>
      </xdr:nvSpPr>
      <xdr:spPr>
        <a:xfrm>
          <a:off x="6198331" y="11083842"/>
          <a:ext cx="1539273" cy="4634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Required Stone </a:t>
          </a:r>
        </a:p>
        <a:p>
          <a:pPr algn="ctr"/>
          <a:r>
            <a:rPr lang="en-US" sz="900"/>
            <a:t>(For</a:t>
          </a:r>
          <a:r>
            <a:rPr lang="en-US" sz="900" baseline="0"/>
            <a:t> Embedment Backfill)</a:t>
          </a:r>
          <a:endParaRPr lang="en-US" sz="900"/>
        </a:p>
      </xdr:txBody>
    </xdr:sp>
    <xdr:clientData/>
  </xdr:twoCellAnchor>
  <xdr:twoCellAnchor>
    <xdr:from>
      <xdr:col>14</xdr:col>
      <xdr:colOff>21791</xdr:colOff>
      <xdr:row>51</xdr:row>
      <xdr:rowOff>94532</xdr:rowOff>
    </xdr:from>
    <xdr:to>
      <xdr:col>16</xdr:col>
      <xdr:colOff>638852</xdr:colOff>
      <xdr:row>54</xdr:row>
      <xdr:rowOff>18221</xdr:rowOff>
    </xdr:to>
    <xdr:sp macro="" textlink="">
      <xdr:nvSpPr>
        <xdr:cNvPr id="35" name="TextBox 34">
          <a:extLst>
            <a:ext uri="{FF2B5EF4-FFF2-40B4-BE49-F238E27FC236}">
              <a16:creationId xmlns:a16="http://schemas.microsoft.com/office/drawing/2014/main" id="{00000000-0008-0000-0000-000023000000}"/>
            </a:ext>
          </a:extLst>
        </xdr:cNvPr>
        <xdr:cNvSpPr txBox="1"/>
      </xdr:nvSpPr>
      <xdr:spPr>
        <a:xfrm>
          <a:off x="7800541" y="11080032"/>
          <a:ext cx="1897644" cy="4634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Non-Woven Geotextile</a:t>
          </a:r>
        </a:p>
        <a:p>
          <a:pPr algn="ctr"/>
          <a:r>
            <a:rPr lang="en-US" sz="900"/>
            <a:t>(Includes 20% Overlap</a:t>
          </a:r>
          <a:r>
            <a:rPr lang="en-US" sz="900" baseline="0"/>
            <a:t>)</a:t>
          </a:r>
          <a:endParaRPr lang="en-US" sz="900"/>
        </a:p>
      </xdr:txBody>
    </xdr:sp>
    <xdr:clientData/>
  </xdr:twoCellAnchor>
  <xdr:twoCellAnchor>
    <xdr:from>
      <xdr:col>17</xdr:col>
      <xdr:colOff>263003</xdr:colOff>
      <xdr:row>52</xdr:row>
      <xdr:rowOff>66592</xdr:rowOff>
    </xdr:from>
    <xdr:to>
      <xdr:col>21</xdr:col>
      <xdr:colOff>496032</xdr:colOff>
      <xdr:row>53</xdr:row>
      <xdr:rowOff>141394</xdr:rowOff>
    </xdr:to>
    <xdr:sp macro="" textlink="">
      <xdr:nvSpPr>
        <xdr:cNvPr id="37" name="TextBox 36">
          <a:extLst>
            <a:ext uri="{FF2B5EF4-FFF2-40B4-BE49-F238E27FC236}">
              <a16:creationId xmlns:a16="http://schemas.microsoft.com/office/drawing/2014/main" id="{00000000-0008-0000-0000-000025000000}"/>
            </a:ext>
          </a:extLst>
        </xdr:cNvPr>
        <xdr:cNvSpPr txBox="1"/>
      </xdr:nvSpPr>
      <xdr:spPr>
        <a:xfrm>
          <a:off x="10042003" y="11232009"/>
          <a:ext cx="1767612" cy="2547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Woven Geotextile </a:t>
          </a:r>
          <a:endParaRPr lang="en-US" sz="900"/>
        </a:p>
      </xdr:txBody>
    </xdr:sp>
    <xdr:clientData/>
  </xdr:twoCellAnchor>
  <xdr:twoCellAnchor>
    <xdr:from>
      <xdr:col>3</xdr:col>
      <xdr:colOff>368995</xdr:colOff>
      <xdr:row>56</xdr:row>
      <xdr:rowOff>189040</xdr:rowOff>
    </xdr:from>
    <xdr:to>
      <xdr:col>29</xdr:col>
      <xdr:colOff>668350</xdr:colOff>
      <xdr:row>58</xdr:row>
      <xdr:rowOff>21612</xdr:rowOff>
    </xdr:to>
    <xdr:sp macro="" textlink="">
      <xdr:nvSpPr>
        <xdr:cNvPr id="10" name="TextBox 9">
          <a:extLst>
            <a:ext uri="{FF2B5EF4-FFF2-40B4-BE49-F238E27FC236}">
              <a16:creationId xmlns:a16="http://schemas.microsoft.com/office/drawing/2014/main" id="{00000000-0008-0000-0000-00000A000000}"/>
            </a:ext>
          </a:extLst>
        </xdr:cNvPr>
        <xdr:cNvSpPr txBox="1"/>
      </xdr:nvSpPr>
      <xdr:spPr>
        <a:xfrm>
          <a:off x="2856701" y="12537922"/>
          <a:ext cx="13107678" cy="2135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800" baseline="0">
              <a:solidFill>
                <a:schemeClr val="dk1"/>
              </a:solidFill>
              <a:effectLst/>
              <a:latin typeface="+mn-lt"/>
              <a:ea typeface="+mn-ea"/>
              <a:cs typeface="+mn-cs"/>
            </a:rPr>
            <a:t>This tool is intended to assist in sizing stormwater management systems using Prinsco products. It should be used for estimating purposes only and is not intended to be a final design tool.  The design engineer needs to verify all the values and ensure they meet all project design criteria.</a:t>
          </a:r>
          <a:endParaRPr lang="en-US" sz="800">
            <a:effectLst/>
          </a:endParaRPr>
        </a:p>
        <a:p>
          <a:endParaRPr lang="en-US" sz="1100"/>
        </a:p>
      </xdr:txBody>
    </xdr:sp>
    <xdr:clientData/>
  </xdr:twoCellAnchor>
  <xdr:twoCellAnchor>
    <xdr:from>
      <xdr:col>3</xdr:col>
      <xdr:colOff>392074</xdr:colOff>
      <xdr:row>55</xdr:row>
      <xdr:rowOff>169333</xdr:rowOff>
    </xdr:from>
    <xdr:to>
      <xdr:col>30</xdr:col>
      <xdr:colOff>91950</xdr:colOff>
      <xdr:row>56</xdr:row>
      <xdr:rowOff>135224</xdr:rowOff>
    </xdr:to>
    <xdr:sp macro="" textlink="">
      <xdr:nvSpPr>
        <xdr:cNvPr id="14" name="TextBox 13">
          <a:extLst>
            <a:ext uri="{FF2B5EF4-FFF2-40B4-BE49-F238E27FC236}">
              <a16:creationId xmlns:a16="http://schemas.microsoft.com/office/drawing/2014/main" id="{00000000-0008-0000-0000-00000E000000}"/>
            </a:ext>
          </a:extLst>
        </xdr:cNvPr>
        <xdr:cNvSpPr txBox="1"/>
      </xdr:nvSpPr>
      <xdr:spPr>
        <a:xfrm>
          <a:off x="2942657" y="12001500"/>
          <a:ext cx="13616960" cy="1458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indent="0" algn="ctr" defTabSz="914400" eaLnBrk="1" fontAlgn="auto" latinLnBrk="0" hangingPunct="1">
            <a:lnSpc>
              <a:spcPct val="100000"/>
            </a:lnSpc>
            <a:spcBef>
              <a:spcPts val="0"/>
            </a:spcBef>
            <a:spcAft>
              <a:spcPts val="0"/>
            </a:spcAft>
            <a:buClrTx/>
            <a:buSzTx/>
            <a:buFontTx/>
            <a:buNone/>
            <a:tabLst/>
            <a:defRPr/>
          </a:pPr>
          <a:r>
            <a:rPr lang="en-US" sz="1100">
              <a:solidFill>
                <a:sysClr val="windowText" lastClr="000000"/>
              </a:solidFill>
              <a:effectLst/>
              <a:latin typeface="+mn-lt"/>
              <a:ea typeface="+mn-ea"/>
              <a:cs typeface="+mn-cs"/>
            </a:rPr>
            <a:t>ASSISTANCE:  For assistance with design, drawings or pricing please have your completed system design aid ready, and contact your Prinsco sales representative</a:t>
          </a:r>
          <a:endParaRPr lang="en-US">
            <a:solidFill>
              <a:sysClr val="windowText" lastClr="000000"/>
            </a:solidFill>
            <a:effectLst/>
          </a:endParaRPr>
        </a:p>
        <a:p>
          <a:pPr algn="ctr"/>
          <a:endParaRPr lang="en-US" sz="1100"/>
        </a:p>
      </xdr:txBody>
    </xdr:sp>
    <xdr:clientData/>
  </xdr:twoCellAnchor>
  <xdr:twoCellAnchor>
    <xdr:from>
      <xdr:col>2</xdr:col>
      <xdr:colOff>190499</xdr:colOff>
      <xdr:row>18</xdr:row>
      <xdr:rowOff>44824</xdr:rowOff>
    </xdr:from>
    <xdr:to>
      <xdr:col>11</xdr:col>
      <xdr:colOff>560294</xdr:colOff>
      <xdr:row>18</xdr:row>
      <xdr:rowOff>302559</xdr:rowOff>
    </xdr:to>
    <xdr:sp macro="" textlink="">
      <xdr:nvSpPr>
        <xdr:cNvPr id="18" name="TextBox 17">
          <a:extLst>
            <a:ext uri="{FF2B5EF4-FFF2-40B4-BE49-F238E27FC236}">
              <a16:creationId xmlns:a16="http://schemas.microsoft.com/office/drawing/2014/main" id="{00000000-0008-0000-0000-000012000000}"/>
            </a:ext>
          </a:extLst>
        </xdr:cNvPr>
        <xdr:cNvSpPr txBox="1"/>
      </xdr:nvSpPr>
      <xdr:spPr>
        <a:xfrm>
          <a:off x="1075764" y="4056530"/>
          <a:ext cx="4179795" cy="2577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1100" baseline="0">
              <a:solidFill>
                <a:schemeClr val="dk1"/>
              </a:solidFill>
              <a:effectLst/>
              <a:latin typeface="+mn-lt"/>
              <a:ea typeface="+mn-ea"/>
              <a:cs typeface="+mn-cs"/>
            </a:rPr>
            <a:t>* Minimum recommended values are already included in calculations</a:t>
          </a:r>
          <a:endParaRPr lang="en-US">
            <a:effectLst/>
          </a:endParaRPr>
        </a:p>
        <a:p>
          <a:endParaRPr lang="en-US" sz="1100"/>
        </a:p>
      </xdr:txBody>
    </xdr:sp>
    <xdr:clientData/>
  </xdr:twoCellAnchor>
  <mc:AlternateContent xmlns:mc="http://schemas.openxmlformats.org/markup-compatibility/2006">
    <mc:Choice xmlns:a14="http://schemas.microsoft.com/office/drawing/2010/main" Requires="a14">
      <xdr:twoCellAnchor>
        <xdr:from>
          <xdr:col>24</xdr:col>
          <xdr:colOff>228600</xdr:colOff>
          <xdr:row>17</xdr:row>
          <xdr:rowOff>19050</xdr:rowOff>
        </xdr:from>
        <xdr:to>
          <xdr:col>29</xdr:col>
          <xdr:colOff>552450</xdr:colOff>
          <xdr:row>18</xdr:row>
          <xdr:rowOff>190500</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US" sz="1600" b="0" i="0" u="none" strike="noStrike" baseline="0">
                  <a:solidFill>
                    <a:srgbClr val="000000"/>
                  </a:solidFill>
                  <a:latin typeface="Calibri"/>
                  <a:ea typeface="Calibri"/>
                  <a:cs typeface="Calibri"/>
                </a:rPr>
                <a:t>Calculate System</a:t>
              </a:r>
            </a:p>
          </xdr:txBody>
        </xdr:sp>
        <xdr:clientData fLocksWithSheet="0" fPrintsWithSheet="0"/>
      </xdr:twoCellAnchor>
    </mc:Choice>
    <mc:Fallback/>
  </mc:AlternateContent>
  <xdr:twoCellAnchor editAs="oneCell">
    <xdr:from>
      <xdr:col>1</xdr:col>
      <xdr:colOff>137320</xdr:colOff>
      <xdr:row>22</xdr:row>
      <xdr:rowOff>112060</xdr:rowOff>
    </xdr:from>
    <xdr:to>
      <xdr:col>15</xdr:col>
      <xdr:colOff>340566</xdr:colOff>
      <xdr:row>39</xdr:row>
      <xdr:rowOff>18602</xdr:rowOff>
    </xdr:to>
    <xdr:pic>
      <xdr:nvPicPr>
        <xdr:cNvPr id="31" name="Picture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672206" y="5413403"/>
          <a:ext cx="6865303" cy="3252810"/>
        </a:xfrm>
        <a:prstGeom prst="rect">
          <a:avLst/>
        </a:prstGeom>
      </xdr:spPr>
    </xdr:pic>
    <xdr:clientData/>
  </xdr:twoCellAnchor>
  <xdr:oneCellAnchor>
    <xdr:from>
      <xdr:col>13</xdr:col>
      <xdr:colOff>216064</xdr:colOff>
      <xdr:row>27</xdr:row>
      <xdr:rowOff>116611</xdr:rowOff>
    </xdr:from>
    <xdr:ext cx="689862" cy="190500"/>
    <xdr:sp macro="" textlink="" fLocksText="0">
      <xdr:nvSpPr>
        <xdr:cNvPr id="62" name="TextBox 61">
          <a:extLst>
            <a:ext uri="{FF2B5EF4-FFF2-40B4-BE49-F238E27FC236}">
              <a16:creationId xmlns:a16="http://schemas.microsoft.com/office/drawing/2014/main" id="{00000000-0008-0000-0000-00003E000000}"/>
            </a:ext>
          </a:extLst>
        </xdr:cNvPr>
        <xdr:cNvSpPr txBox="1"/>
      </xdr:nvSpPr>
      <xdr:spPr>
        <a:xfrm>
          <a:off x="9175517" y="6325720"/>
          <a:ext cx="689862"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r>
            <a:rPr lang="en-US" sz="1100"/>
            <a:t>12"</a:t>
          </a:r>
        </a:p>
      </xdr:txBody>
    </xdr:sp>
    <xdr:clientData/>
  </xdr:oneCellAnchor>
  <xdr:oneCellAnchor>
    <xdr:from>
      <xdr:col>14</xdr:col>
      <xdr:colOff>258535</xdr:colOff>
      <xdr:row>31</xdr:row>
      <xdr:rowOff>17302</xdr:rowOff>
    </xdr:from>
    <xdr:ext cx="530359" cy="170957"/>
    <xdr:sp macro="" textlink="" fLocksText="0">
      <xdr:nvSpPr>
        <xdr:cNvPr id="63" name="TextBox 62">
          <a:extLst>
            <a:ext uri="{FF2B5EF4-FFF2-40B4-BE49-F238E27FC236}">
              <a16:creationId xmlns:a16="http://schemas.microsoft.com/office/drawing/2014/main" id="{00000000-0008-0000-0000-00003F000000}"/>
            </a:ext>
          </a:extLst>
        </xdr:cNvPr>
        <xdr:cNvSpPr txBox="1"/>
      </xdr:nvSpPr>
      <xdr:spPr>
        <a:xfrm>
          <a:off x="8048864" y="6839443"/>
          <a:ext cx="530359" cy="1709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noAutofit/>
        </a:bodyPr>
        <a:lstStyle/>
        <a:p>
          <a:pPr algn="ctr"/>
          <a:r>
            <a:rPr lang="en-US" sz="1100"/>
            <a:t>59.5"</a:t>
          </a:r>
        </a:p>
      </xdr:txBody>
    </xdr:sp>
    <xdr:clientData/>
  </xdr:oneCellAnchor>
  <xdr:oneCellAnchor>
    <xdr:from>
      <xdr:col>14</xdr:col>
      <xdr:colOff>23993</xdr:colOff>
      <xdr:row>34</xdr:row>
      <xdr:rowOff>20030</xdr:rowOff>
    </xdr:from>
    <xdr:ext cx="659566" cy="264560"/>
    <xdr:sp macro="" textlink="" fLocksText="0">
      <xdr:nvSpPr>
        <xdr:cNvPr id="65" name="TextBox 64">
          <a:extLst>
            <a:ext uri="{FF2B5EF4-FFF2-40B4-BE49-F238E27FC236}">
              <a16:creationId xmlns:a16="http://schemas.microsoft.com/office/drawing/2014/main" id="{00000000-0008-0000-0000-000041000000}"/>
            </a:ext>
          </a:extLst>
        </xdr:cNvPr>
        <xdr:cNvSpPr txBox="1"/>
      </xdr:nvSpPr>
      <xdr:spPr>
        <a:xfrm>
          <a:off x="7576758" y="7539177"/>
          <a:ext cx="659566" cy="264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algn="ctr"/>
          <a:r>
            <a:rPr lang="en-US" sz="1100"/>
            <a:t>9"</a:t>
          </a:r>
        </a:p>
      </xdr:txBody>
    </xdr:sp>
    <xdr:clientData/>
  </xdr:oneCellAnchor>
  <xdr:oneCellAnchor>
    <xdr:from>
      <xdr:col>11</xdr:col>
      <xdr:colOff>268566</xdr:colOff>
      <xdr:row>38</xdr:row>
      <xdr:rowOff>149682</xdr:rowOff>
    </xdr:from>
    <xdr:ext cx="571876" cy="264560"/>
    <xdr:sp macro="" textlink="" fLocksText="0">
      <xdr:nvSpPr>
        <xdr:cNvPr id="66" name="TextBox 65">
          <a:extLst>
            <a:ext uri="{FF2B5EF4-FFF2-40B4-BE49-F238E27FC236}">
              <a16:creationId xmlns:a16="http://schemas.microsoft.com/office/drawing/2014/main" id="{00000000-0008-0000-0000-000042000000}"/>
            </a:ext>
          </a:extLst>
        </xdr:cNvPr>
        <xdr:cNvSpPr txBox="1"/>
      </xdr:nvSpPr>
      <xdr:spPr>
        <a:xfrm>
          <a:off x="6621741" y="8436432"/>
          <a:ext cx="571876" cy="264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algn="ctr"/>
          <a:r>
            <a:rPr lang="en-US" sz="1100"/>
            <a:t>12"</a:t>
          </a:r>
        </a:p>
      </xdr:txBody>
    </xdr:sp>
    <xdr:clientData/>
  </xdr:oneCellAnchor>
  <xdr:oneCellAnchor>
    <xdr:from>
      <xdr:col>6</xdr:col>
      <xdr:colOff>282309</xdr:colOff>
      <xdr:row>38</xdr:row>
      <xdr:rowOff>179560</xdr:rowOff>
    </xdr:from>
    <xdr:ext cx="896471" cy="212912"/>
    <xdr:sp macro="" textlink="" fLocksText="0">
      <xdr:nvSpPr>
        <xdr:cNvPr id="67" name="TextBox 66">
          <a:extLst>
            <a:ext uri="{FF2B5EF4-FFF2-40B4-BE49-F238E27FC236}">
              <a16:creationId xmlns:a16="http://schemas.microsoft.com/office/drawing/2014/main" id="{00000000-0008-0000-0000-000043000000}"/>
            </a:ext>
          </a:extLst>
        </xdr:cNvPr>
        <xdr:cNvSpPr txBox="1"/>
      </xdr:nvSpPr>
      <xdr:spPr>
        <a:xfrm>
          <a:off x="4514130" y="8547953"/>
          <a:ext cx="896471" cy="2129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r>
            <a:rPr lang="en-US" sz="1100"/>
            <a:t>8.5"</a:t>
          </a:r>
        </a:p>
      </xdr:txBody>
    </xdr:sp>
    <xdr:clientData/>
  </xdr:oneCellAnchor>
  <xdr:oneCellAnchor>
    <xdr:from>
      <xdr:col>8</xdr:col>
      <xdr:colOff>223185</xdr:colOff>
      <xdr:row>37</xdr:row>
      <xdr:rowOff>120800</xdr:rowOff>
    </xdr:from>
    <xdr:ext cx="795616" cy="264560"/>
    <xdr:sp macro="" textlink="" fLocksText="0">
      <xdr:nvSpPr>
        <xdr:cNvPr id="68" name="TextBox 67">
          <a:extLst>
            <a:ext uri="{FF2B5EF4-FFF2-40B4-BE49-F238E27FC236}">
              <a16:creationId xmlns:a16="http://schemas.microsoft.com/office/drawing/2014/main" id="{00000000-0008-0000-0000-000044000000}"/>
            </a:ext>
          </a:extLst>
        </xdr:cNvPr>
        <xdr:cNvSpPr txBox="1"/>
      </xdr:nvSpPr>
      <xdr:spPr>
        <a:xfrm>
          <a:off x="7319310" y="8534550"/>
          <a:ext cx="795616" cy="2645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spAutoFit/>
        </a:bodyPr>
        <a:lstStyle/>
        <a:p>
          <a:pPr algn="ctr"/>
          <a:r>
            <a:rPr lang="en-US" sz="1100"/>
            <a:t>100.5"</a:t>
          </a:r>
        </a:p>
      </xdr:txBody>
    </xdr:sp>
    <xdr:clientData/>
  </xdr:oneCellAnchor>
  <xdr:twoCellAnchor>
    <xdr:from>
      <xdr:col>27</xdr:col>
      <xdr:colOff>127074</xdr:colOff>
      <xdr:row>13</xdr:row>
      <xdr:rowOff>48870</xdr:rowOff>
    </xdr:from>
    <xdr:to>
      <xdr:col>28</xdr:col>
      <xdr:colOff>400049</xdr:colOff>
      <xdr:row>13</xdr:row>
      <xdr:rowOff>357144</xdr:rowOff>
    </xdr:to>
    <xdr:sp macro="" textlink="">
      <xdr:nvSpPr>
        <xdr:cNvPr id="69" name="TextBox 68">
          <a:extLst>
            <a:ext uri="{FF2B5EF4-FFF2-40B4-BE49-F238E27FC236}">
              <a16:creationId xmlns:a16="http://schemas.microsoft.com/office/drawing/2014/main" id="{00000000-0008-0000-0000-000045000000}"/>
            </a:ext>
          </a:extLst>
        </xdr:cNvPr>
        <xdr:cNvSpPr txBox="1"/>
      </xdr:nvSpPr>
      <xdr:spPr>
        <a:xfrm>
          <a:off x="14855105" y="2906370"/>
          <a:ext cx="570632" cy="3082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solidFill>
                <a:sysClr val="windowText" lastClr="000000"/>
              </a:solidFill>
            </a:rPr>
            <a:t>Units</a:t>
          </a:r>
        </a:p>
      </xdr:txBody>
    </xdr:sp>
    <xdr:clientData/>
  </xdr:twoCellAnchor>
  <mc:AlternateContent xmlns:mc="http://schemas.openxmlformats.org/markup-compatibility/2006">
    <mc:Choice xmlns:a14="http://schemas.microsoft.com/office/drawing/2010/main" Requires="a14">
      <xdr:twoCellAnchor editAs="oneCell">
        <xdr:from>
          <xdr:col>28</xdr:col>
          <xdr:colOff>400050</xdr:colOff>
          <xdr:row>13</xdr:row>
          <xdr:rowOff>57150</xdr:rowOff>
        </xdr:from>
        <xdr:to>
          <xdr:col>29</xdr:col>
          <xdr:colOff>571500</xdr:colOff>
          <xdr:row>13</xdr:row>
          <xdr:rowOff>314325</xdr:rowOff>
        </xdr:to>
        <xdr:sp macro="" textlink="">
          <xdr:nvSpPr>
            <xdr:cNvPr id="1034" name="units"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LocksWithSheet="0"/>
      </xdr:twoCellAnchor>
    </mc:Choice>
    <mc:Fallback/>
  </mc:AlternateContent>
  <xdr:twoCellAnchor>
    <xdr:from>
      <xdr:col>15</xdr:col>
      <xdr:colOff>302558</xdr:colOff>
      <xdr:row>26</xdr:row>
      <xdr:rowOff>123265</xdr:rowOff>
    </xdr:from>
    <xdr:to>
      <xdr:col>15</xdr:col>
      <xdr:colOff>593911</xdr:colOff>
      <xdr:row>27</xdr:row>
      <xdr:rowOff>134471</xdr:rowOff>
    </xdr:to>
    <xdr:sp macro="" textlink="">
      <xdr:nvSpPr>
        <xdr:cNvPr id="38" name="Rectangle 37">
          <a:extLst>
            <a:ext uri="{FF2B5EF4-FFF2-40B4-BE49-F238E27FC236}">
              <a16:creationId xmlns:a16="http://schemas.microsoft.com/office/drawing/2014/main" id="{00000000-0008-0000-0000-000026000000}"/>
            </a:ext>
          </a:extLst>
        </xdr:cNvPr>
        <xdr:cNvSpPr/>
      </xdr:nvSpPr>
      <xdr:spPr>
        <a:xfrm>
          <a:off x="6914029" y="5950324"/>
          <a:ext cx="291353" cy="20170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oneCellAnchor>
    <xdr:from>
      <xdr:col>14</xdr:col>
      <xdr:colOff>148037</xdr:colOff>
      <xdr:row>26</xdr:row>
      <xdr:rowOff>123265</xdr:rowOff>
    </xdr:from>
    <xdr:ext cx="645713" cy="183845"/>
    <xdr:sp macro="" textlink="" fLocksText="0">
      <xdr:nvSpPr>
        <xdr:cNvPr id="61" name="TextBox 60">
          <a:extLst>
            <a:ext uri="{FF2B5EF4-FFF2-40B4-BE49-F238E27FC236}">
              <a16:creationId xmlns:a16="http://schemas.microsoft.com/office/drawing/2014/main" id="{00000000-0008-0000-0000-00003D000000}"/>
            </a:ext>
          </a:extLst>
        </xdr:cNvPr>
        <xdr:cNvSpPr txBox="1"/>
      </xdr:nvSpPr>
      <xdr:spPr>
        <a:xfrm>
          <a:off x="9553975" y="6141874"/>
          <a:ext cx="645713" cy="18384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ctr"/>
          <a:r>
            <a:rPr lang="en-US" sz="1050"/>
            <a:t>24"</a:t>
          </a:r>
        </a:p>
      </xdr:txBody>
    </xdr:sp>
    <xdr:clientData/>
  </xdr:oneCellAnchor>
  <xdr:twoCellAnchor>
    <xdr:from>
      <xdr:col>1</xdr:col>
      <xdr:colOff>87923</xdr:colOff>
      <xdr:row>22</xdr:row>
      <xdr:rowOff>109904</xdr:rowOff>
    </xdr:from>
    <xdr:to>
      <xdr:col>3</xdr:col>
      <xdr:colOff>344366</xdr:colOff>
      <xdr:row>39</xdr:row>
      <xdr:rowOff>80596</xdr:rowOff>
    </xdr:to>
    <xdr:sp macro="" textlink="">
      <xdr:nvSpPr>
        <xdr:cNvPr id="40" name="Rectangle 39">
          <a:extLst>
            <a:ext uri="{FF2B5EF4-FFF2-40B4-BE49-F238E27FC236}">
              <a16:creationId xmlns:a16="http://schemas.microsoft.com/office/drawing/2014/main" id="{00000000-0008-0000-0000-000028000000}"/>
            </a:ext>
          </a:extLst>
        </xdr:cNvPr>
        <xdr:cNvSpPr/>
      </xdr:nvSpPr>
      <xdr:spPr>
        <a:xfrm>
          <a:off x="696058" y="5187462"/>
          <a:ext cx="945173" cy="3209192"/>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xdr:col>
      <xdr:colOff>85267</xdr:colOff>
      <xdr:row>37</xdr:row>
      <xdr:rowOff>86550</xdr:rowOff>
    </xdr:from>
    <xdr:to>
      <xdr:col>3</xdr:col>
      <xdr:colOff>378345</xdr:colOff>
      <xdr:row>40</xdr:row>
      <xdr:rowOff>21065</xdr:rowOff>
    </xdr:to>
    <xdr:sp macro="" textlink="">
      <xdr:nvSpPr>
        <xdr:cNvPr id="39" name="TextBox 38">
          <a:extLst>
            <a:ext uri="{FF2B5EF4-FFF2-40B4-BE49-F238E27FC236}">
              <a16:creationId xmlns:a16="http://schemas.microsoft.com/office/drawing/2014/main" id="{00000000-0008-0000-0000-000027000000}"/>
            </a:ext>
          </a:extLst>
        </xdr:cNvPr>
        <xdr:cNvSpPr txBox="1"/>
      </xdr:nvSpPr>
      <xdr:spPr>
        <a:xfrm>
          <a:off x="693402" y="8021608"/>
          <a:ext cx="981808" cy="5060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Suitable Subgrade</a:t>
          </a:r>
        </a:p>
      </xdr:txBody>
    </xdr:sp>
    <xdr:clientData/>
  </xdr:twoCellAnchor>
  <xdr:twoCellAnchor>
    <xdr:from>
      <xdr:col>1</xdr:col>
      <xdr:colOff>89197</xdr:colOff>
      <xdr:row>34</xdr:row>
      <xdr:rowOff>140494</xdr:rowOff>
    </xdr:from>
    <xdr:to>
      <xdr:col>3</xdr:col>
      <xdr:colOff>385282</xdr:colOff>
      <xdr:row>37</xdr:row>
      <xdr:rowOff>165100</xdr:rowOff>
    </xdr:to>
    <xdr:sp macro="" textlink="">
      <xdr:nvSpPr>
        <xdr:cNvPr id="64" name="TextBox 63">
          <a:extLst>
            <a:ext uri="{FF2B5EF4-FFF2-40B4-BE49-F238E27FC236}">
              <a16:creationId xmlns:a16="http://schemas.microsoft.com/office/drawing/2014/main" id="{00000000-0008-0000-0000-000040000000}"/>
            </a:ext>
          </a:extLst>
        </xdr:cNvPr>
        <xdr:cNvSpPr txBox="1"/>
      </xdr:nvSpPr>
      <xdr:spPr>
        <a:xfrm>
          <a:off x="1663997" y="7481094"/>
          <a:ext cx="1273985" cy="5580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Non-woven Geotextile</a:t>
          </a:r>
        </a:p>
      </xdr:txBody>
    </xdr:sp>
    <xdr:clientData/>
  </xdr:twoCellAnchor>
  <xdr:twoCellAnchor>
    <xdr:from>
      <xdr:col>1</xdr:col>
      <xdr:colOff>68025</xdr:colOff>
      <xdr:row>32</xdr:row>
      <xdr:rowOff>27608</xdr:rowOff>
    </xdr:from>
    <xdr:to>
      <xdr:col>3</xdr:col>
      <xdr:colOff>365314</xdr:colOff>
      <xdr:row>35</xdr:row>
      <xdr:rowOff>0</xdr:rowOff>
    </xdr:to>
    <xdr:sp macro="" textlink="">
      <xdr:nvSpPr>
        <xdr:cNvPr id="70" name="TextBox 69">
          <a:extLst>
            <a:ext uri="{FF2B5EF4-FFF2-40B4-BE49-F238E27FC236}">
              <a16:creationId xmlns:a16="http://schemas.microsoft.com/office/drawing/2014/main" id="{00000000-0008-0000-0000-000046000000}"/>
            </a:ext>
          </a:extLst>
        </xdr:cNvPr>
        <xdr:cNvSpPr txBox="1"/>
      </xdr:nvSpPr>
      <xdr:spPr>
        <a:xfrm>
          <a:off x="1642825" y="7012608"/>
          <a:ext cx="1275189" cy="5057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Stone Foundation</a:t>
          </a:r>
        </a:p>
      </xdr:txBody>
    </xdr:sp>
    <xdr:clientData/>
  </xdr:twoCellAnchor>
  <xdr:twoCellAnchor>
    <xdr:from>
      <xdr:col>1</xdr:col>
      <xdr:colOff>54473</xdr:colOff>
      <xdr:row>28</xdr:row>
      <xdr:rowOff>41549</xdr:rowOff>
    </xdr:from>
    <xdr:to>
      <xdr:col>3</xdr:col>
      <xdr:colOff>421821</xdr:colOff>
      <xdr:row>30</xdr:row>
      <xdr:rowOff>166564</xdr:rowOff>
    </xdr:to>
    <xdr:sp macro="" textlink="">
      <xdr:nvSpPr>
        <xdr:cNvPr id="71" name="TextBox 70">
          <a:extLst>
            <a:ext uri="{FF2B5EF4-FFF2-40B4-BE49-F238E27FC236}">
              <a16:creationId xmlns:a16="http://schemas.microsoft.com/office/drawing/2014/main" id="{00000000-0008-0000-0000-000047000000}"/>
            </a:ext>
          </a:extLst>
        </xdr:cNvPr>
        <xdr:cNvSpPr txBox="1"/>
      </xdr:nvSpPr>
      <xdr:spPr>
        <a:xfrm>
          <a:off x="95294" y="6246406"/>
          <a:ext cx="1047706" cy="5060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Embedment Backfill</a:t>
          </a:r>
        </a:p>
      </xdr:txBody>
    </xdr:sp>
    <xdr:clientData/>
  </xdr:twoCellAnchor>
  <xdr:twoCellAnchor>
    <xdr:from>
      <xdr:col>0</xdr:col>
      <xdr:colOff>586154</xdr:colOff>
      <xdr:row>26</xdr:row>
      <xdr:rowOff>145212</xdr:rowOff>
    </xdr:from>
    <xdr:to>
      <xdr:col>3</xdr:col>
      <xdr:colOff>424962</xdr:colOff>
      <xdr:row>28</xdr:row>
      <xdr:rowOff>54724</xdr:rowOff>
    </xdr:to>
    <xdr:sp macro="" textlink="">
      <xdr:nvSpPr>
        <xdr:cNvPr id="72" name="TextBox 71">
          <a:extLst>
            <a:ext uri="{FF2B5EF4-FFF2-40B4-BE49-F238E27FC236}">
              <a16:creationId xmlns:a16="http://schemas.microsoft.com/office/drawing/2014/main" id="{00000000-0008-0000-0000-000048000000}"/>
            </a:ext>
          </a:extLst>
        </xdr:cNvPr>
        <xdr:cNvSpPr txBox="1"/>
      </xdr:nvSpPr>
      <xdr:spPr>
        <a:xfrm>
          <a:off x="586154" y="5984770"/>
          <a:ext cx="1135673" cy="2905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Initial Backfill</a:t>
          </a:r>
        </a:p>
      </xdr:txBody>
    </xdr:sp>
    <xdr:clientData/>
  </xdr:twoCellAnchor>
  <xdr:twoCellAnchor>
    <xdr:from>
      <xdr:col>1</xdr:col>
      <xdr:colOff>58614</xdr:colOff>
      <xdr:row>25</xdr:row>
      <xdr:rowOff>59329</xdr:rowOff>
    </xdr:from>
    <xdr:to>
      <xdr:col>3</xdr:col>
      <xdr:colOff>423813</xdr:colOff>
      <xdr:row>26</xdr:row>
      <xdr:rowOff>159341</xdr:rowOff>
    </xdr:to>
    <xdr:sp macro="" textlink="">
      <xdr:nvSpPr>
        <xdr:cNvPr id="73" name="TextBox 72">
          <a:extLst>
            <a:ext uri="{FF2B5EF4-FFF2-40B4-BE49-F238E27FC236}">
              <a16:creationId xmlns:a16="http://schemas.microsoft.com/office/drawing/2014/main" id="{00000000-0008-0000-0000-000049000000}"/>
            </a:ext>
          </a:extLst>
        </xdr:cNvPr>
        <xdr:cNvSpPr txBox="1"/>
      </xdr:nvSpPr>
      <xdr:spPr>
        <a:xfrm>
          <a:off x="666749" y="5708387"/>
          <a:ext cx="1053929" cy="2905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Final Backfill</a:t>
          </a:r>
        </a:p>
      </xdr:txBody>
    </xdr:sp>
    <xdr:clientData/>
  </xdr:twoCellAnchor>
  <xdr:twoCellAnchor>
    <xdr:from>
      <xdr:col>1</xdr:col>
      <xdr:colOff>168518</xdr:colOff>
      <xdr:row>22</xdr:row>
      <xdr:rowOff>169361</xdr:rowOff>
    </xdr:from>
    <xdr:to>
      <xdr:col>3</xdr:col>
      <xdr:colOff>388579</xdr:colOff>
      <xdr:row>24</xdr:row>
      <xdr:rowOff>78873</xdr:rowOff>
    </xdr:to>
    <xdr:sp macro="" textlink="">
      <xdr:nvSpPr>
        <xdr:cNvPr id="74" name="TextBox 73">
          <a:extLst>
            <a:ext uri="{FF2B5EF4-FFF2-40B4-BE49-F238E27FC236}">
              <a16:creationId xmlns:a16="http://schemas.microsoft.com/office/drawing/2014/main" id="{00000000-0008-0000-0000-00004A000000}"/>
            </a:ext>
          </a:extLst>
        </xdr:cNvPr>
        <xdr:cNvSpPr txBox="1"/>
      </xdr:nvSpPr>
      <xdr:spPr>
        <a:xfrm>
          <a:off x="776653" y="5246919"/>
          <a:ext cx="908791" cy="2905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300" b="1" spc="0" baseline="0">
              <a:latin typeface="+mn-lt"/>
            </a:rPr>
            <a:t>Pavement</a:t>
          </a:r>
        </a:p>
      </xdr:txBody>
    </xdr:sp>
    <xdr:clientData/>
  </xdr:twoCellAnchor>
  <xdr:twoCellAnchor editAs="oneCell">
    <xdr:from>
      <xdr:col>16</xdr:col>
      <xdr:colOff>350476</xdr:colOff>
      <xdr:row>20</xdr:row>
      <xdr:rowOff>39461</xdr:rowOff>
    </xdr:from>
    <xdr:to>
      <xdr:col>30</xdr:col>
      <xdr:colOff>134872</xdr:colOff>
      <xdr:row>43</xdr:row>
      <xdr:rowOff>91807</xdr:rowOff>
    </xdr:to>
    <xdr:pic>
      <xdr:nvPicPr>
        <xdr:cNvPr id="75" name="Picture 74" hidden="1">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9170626" y="4963886"/>
          <a:ext cx="7013871" cy="4519571"/>
        </a:xfrm>
        <a:prstGeom prst="rect">
          <a:avLst/>
        </a:prstGeom>
        <a:ln>
          <a:noFill/>
        </a:ln>
      </xdr:spPr>
    </xdr:pic>
    <xdr:clientData/>
  </xdr:twoCellAnchor>
  <xdr:twoCellAnchor editAs="oneCell">
    <xdr:from>
      <xdr:col>16</xdr:col>
      <xdr:colOff>399575</xdr:colOff>
      <xdr:row>20</xdr:row>
      <xdr:rowOff>99541</xdr:rowOff>
    </xdr:from>
    <xdr:to>
      <xdr:col>30</xdr:col>
      <xdr:colOff>173179</xdr:colOff>
      <xdr:row>43</xdr:row>
      <xdr:rowOff>244718</xdr:rowOff>
    </xdr:to>
    <xdr:pic>
      <xdr:nvPicPr>
        <xdr:cNvPr id="76" name="Picture 75" hidden="1">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9196193" y="4951688"/>
          <a:ext cx="6988287" cy="4603214"/>
        </a:xfrm>
        <a:prstGeom prst="rect">
          <a:avLst/>
        </a:prstGeom>
        <a:ln>
          <a:noFill/>
        </a:ln>
      </xdr:spPr>
    </xdr:pic>
    <xdr:clientData/>
  </xdr:twoCellAnchor>
  <xdr:oneCellAnchor>
    <xdr:from>
      <xdr:col>21</xdr:col>
      <xdr:colOff>195291</xdr:colOff>
      <xdr:row>34</xdr:row>
      <xdr:rowOff>156908</xdr:rowOff>
    </xdr:from>
    <xdr:ext cx="821121" cy="264560"/>
    <xdr:sp macro="" textlink="" fLocksText="0">
      <xdr:nvSpPr>
        <xdr:cNvPr id="45" name="TextBox 44">
          <a:extLst>
            <a:ext uri="{FF2B5EF4-FFF2-40B4-BE49-F238E27FC236}">
              <a16:creationId xmlns:a16="http://schemas.microsoft.com/office/drawing/2014/main" id="{00000000-0008-0000-0000-00002D000000}"/>
            </a:ext>
          </a:extLst>
        </xdr:cNvPr>
        <xdr:cNvSpPr txBox="1"/>
      </xdr:nvSpPr>
      <xdr:spPr>
        <a:xfrm rot="1812206">
          <a:off x="11129991" y="7681658"/>
          <a:ext cx="821121" cy="2645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ctr"/>
          <a:r>
            <a:rPr lang="en-US" sz="1100"/>
            <a:t>41.6'</a:t>
          </a:r>
        </a:p>
      </xdr:txBody>
    </xdr:sp>
    <xdr:clientData/>
  </xdr:oneCellAnchor>
  <xdr:oneCellAnchor>
    <xdr:from>
      <xdr:col>19</xdr:col>
      <xdr:colOff>522735</xdr:colOff>
      <xdr:row>35</xdr:row>
      <xdr:rowOff>137699</xdr:rowOff>
    </xdr:from>
    <xdr:ext cx="969105" cy="264560"/>
    <xdr:sp macro="" textlink="" fLocksText="0">
      <xdr:nvSpPr>
        <xdr:cNvPr id="22" name="TextBox 21">
          <a:extLst>
            <a:ext uri="{FF2B5EF4-FFF2-40B4-BE49-F238E27FC236}">
              <a16:creationId xmlns:a16="http://schemas.microsoft.com/office/drawing/2014/main" id="{00000000-0008-0000-0000-000016000000}"/>
            </a:ext>
          </a:extLst>
        </xdr:cNvPr>
        <xdr:cNvSpPr txBox="1"/>
      </xdr:nvSpPr>
      <xdr:spPr>
        <a:xfrm rot="1820154">
          <a:off x="9128853" y="7679258"/>
          <a:ext cx="969105" cy="2645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ctr"/>
          <a:r>
            <a:rPr lang="en-US" sz="1100"/>
            <a:t>51.8'</a:t>
          </a:r>
        </a:p>
      </xdr:txBody>
    </xdr:sp>
    <xdr:clientData/>
  </xdr:oneCellAnchor>
  <xdr:oneCellAnchor>
    <xdr:from>
      <xdr:col>27</xdr:col>
      <xdr:colOff>155623</xdr:colOff>
      <xdr:row>37</xdr:row>
      <xdr:rowOff>80305</xdr:rowOff>
    </xdr:from>
    <xdr:ext cx="1174155" cy="272500"/>
    <xdr:sp macro="" textlink="" fLocksText="0">
      <xdr:nvSpPr>
        <xdr:cNvPr id="47" name="TextBox 46">
          <a:extLst>
            <a:ext uri="{FF2B5EF4-FFF2-40B4-BE49-F238E27FC236}">
              <a16:creationId xmlns:a16="http://schemas.microsoft.com/office/drawing/2014/main" id="{00000000-0008-0000-0000-00002F000000}"/>
            </a:ext>
          </a:extLst>
        </xdr:cNvPr>
        <xdr:cNvSpPr txBox="1"/>
      </xdr:nvSpPr>
      <xdr:spPr>
        <a:xfrm rot="19747104">
          <a:off x="14398299" y="8238187"/>
          <a:ext cx="1174155" cy="272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ctr"/>
          <a:r>
            <a:rPr lang="en-US" sz="1100"/>
            <a:t>35.6'</a:t>
          </a:r>
        </a:p>
      </xdr:txBody>
    </xdr:sp>
    <xdr:clientData/>
  </xdr:oneCellAnchor>
  <xdr:oneCellAnchor>
    <xdr:from>
      <xdr:col>28</xdr:col>
      <xdr:colOff>151437</xdr:colOff>
      <xdr:row>38</xdr:row>
      <xdr:rowOff>58145</xdr:rowOff>
    </xdr:from>
    <xdr:ext cx="1149076" cy="264560"/>
    <xdr:sp macro="" textlink="" fLocksText="0">
      <xdr:nvSpPr>
        <xdr:cNvPr id="46" name="TextBox 45">
          <a:extLst>
            <a:ext uri="{FF2B5EF4-FFF2-40B4-BE49-F238E27FC236}">
              <a16:creationId xmlns:a16="http://schemas.microsoft.com/office/drawing/2014/main" id="{00000000-0008-0000-0000-00002E000000}"/>
            </a:ext>
          </a:extLst>
        </xdr:cNvPr>
        <xdr:cNvSpPr txBox="1"/>
      </xdr:nvSpPr>
      <xdr:spPr>
        <a:xfrm rot="19747104">
          <a:off x="14685466" y="8406527"/>
          <a:ext cx="1149076" cy="2645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pPr algn="ctr"/>
          <a:r>
            <a:rPr lang="en-US" sz="1100"/>
            <a:t>37.6'</a:t>
          </a:r>
        </a:p>
      </xdr:txBody>
    </xdr:sp>
    <xdr:clientData/>
  </xdr:oneCellAnchor>
  <xdr:oneCellAnchor>
    <xdr:from>
      <xdr:col>14</xdr:col>
      <xdr:colOff>587272</xdr:colOff>
      <xdr:row>24</xdr:row>
      <xdr:rowOff>182938</xdr:rowOff>
    </xdr:from>
    <xdr:ext cx="900141" cy="405367"/>
    <xdr:sp macro="" textlink="">
      <xdr:nvSpPr>
        <xdr:cNvPr id="60" name="TextBox 58">
          <a:extLst>
            <a:ext uri="{FF2B5EF4-FFF2-40B4-BE49-F238E27FC236}">
              <a16:creationId xmlns:a16="http://schemas.microsoft.com/office/drawing/2014/main" id="{00000000-0008-0000-0000-00003C000000}"/>
            </a:ext>
          </a:extLst>
        </xdr:cNvPr>
        <xdr:cNvSpPr txBox="1"/>
      </xdr:nvSpPr>
      <xdr:spPr>
        <a:xfrm>
          <a:off x="8140037" y="5864320"/>
          <a:ext cx="900141" cy="40536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spAutoFit/>
        </a:bodyPr>
        <a:lstStyle/>
        <a:p>
          <a:r>
            <a:rPr lang="en-US" sz="1000">
              <a:solidFill>
                <a:schemeClr val="dk1"/>
              </a:solidFill>
              <a:effectLst/>
              <a:latin typeface="+mn-lt"/>
              <a:ea typeface="+mn-ea"/>
              <a:cs typeface="+mn-cs"/>
            </a:rPr>
            <a:t>System Design Depth</a:t>
          </a:r>
          <a:endParaRPr lang="en-US" sz="700">
            <a:effectLst/>
          </a:endParaRPr>
        </a:p>
      </xdr:txBody>
    </xdr:sp>
    <xdr:clientData/>
  </xdr:oneCellAnchor>
  <xdr:twoCellAnchor editAs="oneCell">
    <xdr:from>
      <xdr:col>0</xdr:col>
      <xdr:colOff>3320142</xdr:colOff>
      <xdr:row>0</xdr:row>
      <xdr:rowOff>190500</xdr:rowOff>
    </xdr:from>
    <xdr:to>
      <xdr:col>7</xdr:col>
      <xdr:colOff>322970</xdr:colOff>
      <xdr:row>4</xdr:row>
      <xdr:rowOff>282636</xdr:rowOff>
    </xdr:to>
    <xdr:pic>
      <xdr:nvPicPr>
        <xdr:cNvPr id="81" name="Picture 80">
          <a:extLst>
            <a:ext uri="{FF2B5EF4-FFF2-40B4-BE49-F238E27FC236}">
              <a16:creationId xmlns:a16="http://schemas.microsoft.com/office/drawing/2014/main" id="{00000000-0008-0000-0000-000051000000}"/>
            </a:ext>
          </a:extLst>
        </xdr:cNvPr>
        <xdr:cNvPicPr>
          <a:picLocks noChangeAspect="1"/>
        </xdr:cNvPicPr>
      </xdr:nvPicPr>
      <xdr:blipFill rotWithShape="1">
        <a:blip xmlns:r="http://schemas.openxmlformats.org/officeDocument/2006/relationships" r:embed="rId5" cstate="print">
          <a:extLst>
            <a:ext uri="{28A0092B-C50C-407E-A947-70E740481C1C}">
              <a14:useLocalDpi xmlns:a14="http://schemas.microsoft.com/office/drawing/2010/main" val="0"/>
            </a:ext>
          </a:extLst>
        </a:blip>
        <a:srcRect t="16326" b="13215"/>
        <a:stretch/>
      </xdr:blipFill>
      <xdr:spPr>
        <a:xfrm>
          <a:off x="3320142" y="190500"/>
          <a:ext cx="3651886" cy="1017389"/>
        </a:xfrm>
        <a:prstGeom prst="rect">
          <a:avLst/>
        </a:prstGeom>
      </xdr:spPr>
    </xdr:pic>
    <xdr:clientData/>
  </xdr:twoCellAnchor>
  <xdr:twoCellAnchor editAs="oneCell">
    <xdr:from>
      <xdr:col>25</xdr:col>
      <xdr:colOff>172354</xdr:colOff>
      <xdr:row>2</xdr:row>
      <xdr:rowOff>176892</xdr:rowOff>
    </xdr:from>
    <xdr:to>
      <xdr:col>31</xdr:col>
      <xdr:colOff>250642</xdr:colOff>
      <xdr:row>4</xdr:row>
      <xdr:rowOff>130932</xdr:rowOff>
    </xdr:to>
    <xdr:pic>
      <xdr:nvPicPr>
        <xdr:cNvPr id="82" name="Picture 81">
          <a:extLst>
            <a:ext uri="{FF2B5EF4-FFF2-40B4-BE49-F238E27FC236}">
              <a16:creationId xmlns:a16="http://schemas.microsoft.com/office/drawing/2014/main" id="{00000000-0008-0000-0000-000052000000}"/>
            </a:ext>
          </a:extLst>
        </xdr:cNvPr>
        <xdr:cNvPicPr>
          <a:picLocks noChangeAspect="1"/>
        </xdr:cNvPicPr>
      </xdr:nvPicPr>
      <xdr:blipFill rotWithShape="1">
        <a:blip xmlns:r="http://schemas.openxmlformats.org/officeDocument/2006/relationships" r:embed="rId6" cstate="print">
          <a:extLst>
            <a:ext uri="{28A0092B-C50C-407E-A947-70E740481C1C}">
              <a14:useLocalDpi xmlns:a14="http://schemas.microsoft.com/office/drawing/2010/main" val="0"/>
            </a:ext>
          </a:extLst>
        </a:blip>
        <a:srcRect t="15639" b="24932"/>
        <a:stretch/>
      </xdr:blipFill>
      <xdr:spPr>
        <a:xfrm>
          <a:off x="15412354" y="571499"/>
          <a:ext cx="3013348" cy="511356"/>
        </a:xfrm>
        <a:prstGeom prst="rect">
          <a:avLst/>
        </a:prstGeom>
      </xdr:spPr>
    </xdr:pic>
    <xdr:clientData/>
  </xdr:twoCellAnchor>
  <xdr:twoCellAnchor>
    <xdr:from>
      <xdr:col>1</xdr:col>
      <xdr:colOff>220120</xdr:colOff>
      <xdr:row>40</xdr:row>
      <xdr:rowOff>149601</xdr:rowOff>
    </xdr:from>
    <xdr:to>
      <xdr:col>5</xdr:col>
      <xdr:colOff>282326</xdr:colOff>
      <xdr:row>41</xdr:row>
      <xdr:rowOff>91519</xdr:rowOff>
    </xdr:to>
    <xdr:sp macro="" textlink="">
      <xdr:nvSpPr>
        <xdr:cNvPr id="79" name="TextBox 78">
          <a:extLst>
            <a:ext uri="{FF2B5EF4-FFF2-40B4-BE49-F238E27FC236}">
              <a16:creationId xmlns:a16="http://schemas.microsoft.com/office/drawing/2014/main" id="{00000000-0008-0000-0000-00004F000000}"/>
            </a:ext>
          </a:extLst>
        </xdr:cNvPr>
        <xdr:cNvSpPr txBox="1"/>
      </xdr:nvSpPr>
      <xdr:spPr>
        <a:xfrm>
          <a:off x="3582445" y="8817351"/>
          <a:ext cx="2119606" cy="1324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b="1">
              <a:solidFill>
                <a:schemeClr val="accent1">
                  <a:lumMod val="75000"/>
                </a:schemeClr>
              </a:solidFill>
              <a:latin typeface="Arial" panose="020B0604020202020204" pitchFamily="34" charset="0"/>
              <a:cs typeface="Arial" panose="020B0604020202020204" pitchFamily="34" charset="0"/>
            </a:rPr>
            <a:t>NOTES ON</a:t>
          </a:r>
          <a:r>
            <a:rPr lang="en-US" sz="800" b="1" baseline="0">
              <a:solidFill>
                <a:schemeClr val="accent1">
                  <a:lumMod val="75000"/>
                </a:schemeClr>
              </a:solidFill>
              <a:latin typeface="Arial" panose="020B0604020202020204" pitchFamily="34" charset="0"/>
              <a:cs typeface="Arial" panose="020B0604020202020204" pitchFamily="34" charset="0"/>
            </a:rPr>
            <a:t> COVER ABOVE CHAMBER</a:t>
          </a:r>
          <a:r>
            <a:rPr lang="en-US" sz="800">
              <a:solidFill>
                <a:schemeClr val="accent1">
                  <a:lumMod val="50000"/>
                </a:schemeClr>
              </a:solidFill>
              <a:latin typeface="Arial" panose="020B0604020202020204" pitchFamily="34" charset="0"/>
              <a:cs typeface="Arial" panose="020B0604020202020204" pitchFamily="34" charset="0"/>
            </a:rPr>
            <a:t>:</a:t>
          </a:r>
        </a:p>
      </xdr:txBody>
    </xdr:sp>
    <xdr:clientData/>
  </xdr:twoCellAnchor>
  <mc:AlternateContent xmlns:mc="http://schemas.openxmlformats.org/markup-compatibility/2006">
    <mc:Choice xmlns:a14="http://schemas.microsoft.com/office/drawing/2010/main" Requires="a14">
      <xdr:twoCellAnchor editAs="oneCell">
        <xdr:from>
          <xdr:col>7</xdr:col>
          <xdr:colOff>133350</xdr:colOff>
          <xdr:row>13</xdr:row>
          <xdr:rowOff>57150</xdr:rowOff>
        </xdr:from>
        <xdr:to>
          <xdr:col>9</xdr:col>
          <xdr:colOff>85725</xdr:colOff>
          <xdr:row>13</xdr:row>
          <xdr:rowOff>285750</xdr:rowOff>
        </xdr:to>
        <xdr:sp macro="" textlink="">
          <xdr:nvSpPr>
            <xdr:cNvPr id="1039" name="chamsize"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28</xdr:col>
      <xdr:colOff>259465</xdr:colOff>
      <xdr:row>51</xdr:row>
      <xdr:rowOff>102152</xdr:rowOff>
    </xdr:from>
    <xdr:to>
      <xdr:col>31</xdr:col>
      <xdr:colOff>246061</xdr:colOff>
      <xdr:row>54</xdr:row>
      <xdr:rowOff>25841</xdr:rowOff>
    </xdr:to>
    <xdr:sp macro="" textlink="">
      <xdr:nvSpPr>
        <xdr:cNvPr id="2" name="TextBox 1">
          <a:extLst>
            <a:ext uri="{FF2B5EF4-FFF2-40B4-BE49-F238E27FC236}">
              <a16:creationId xmlns:a16="http://schemas.microsoft.com/office/drawing/2014/main" id="{BC33BF09-E055-40DE-829C-E10C08BFC673}"/>
            </a:ext>
          </a:extLst>
        </xdr:cNvPr>
        <xdr:cNvSpPr txBox="1"/>
      </xdr:nvSpPr>
      <xdr:spPr>
        <a:xfrm>
          <a:off x="15203132" y="11087652"/>
          <a:ext cx="1806929" cy="4634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Thermoplastic Liner</a:t>
          </a:r>
        </a:p>
        <a:p>
          <a:pPr algn="ctr"/>
          <a:r>
            <a:rPr lang="en-US" sz="1100"/>
            <a:t>(Detention</a:t>
          </a:r>
          <a:r>
            <a:rPr lang="en-US" sz="1100" baseline="0"/>
            <a:t> Only)</a:t>
          </a:r>
          <a:endParaRPr lang="en-US" sz="1100"/>
        </a:p>
        <a:p>
          <a:pPr algn="ctr"/>
          <a:endParaRPr lang="en-US" sz="900"/>
        </a:p>
      </xdr:txBody>
    </xdr:sp>
    <xdr:clientData/>
  </xdr:twoCellAnchor>
  <mc:AlternateContent xmlns:mc="http://schemas.openxmlformats.org/markup-compatibility/2006">
    <mc:Choice xmlns:a14="http://schemas.microsoft.com/office/drawing/2010/main" Requires="a14">
      <xdr:twoCellAnchor editAs="oneCell">
        <xdr:from>
          <xdr:col>4</xdr:col>
          <xdr:colOff>381000</xdr:colOff>
          <xdr:row>13</xdr:row>
          <xdr:rowOff>85725</xdr:rowOff>
        </xdr:from>
        <xdr:to>
          <xdr:col>6</xdr:col>
          <xdr:colOff>190500</xdr:colOff>
          <xdr:row>13</xdr:row>
          <xdr:rowOff>314325</xdr:rowOff>
        </xdr:to>
        <xdr:sp macro="" textlink="">
          <xdr:nvSpPr>
            <xdr:cNvPr id="1040" name="linersize" hidden="1">
              <a:extLst>
                <a:ext uri="{63B3BB69-23CF-44E3-9099-C40C66FF867C}">
                  <a14:compatExt spid="_x0000_s1040"/>
                </a:ext>
                <a:ext uri="{FF2B5EF4-FFF2-40B4-BE49-F238E27FC236}">
                  <a16:creationId xmlns:a16="http://schemas.microsoft.com/office/drawing/2014/main" id="{00000000-0008-0000-0000-000010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57150</xdr:colOff>
          <xdr:row>13</xdr:row>
          <xdr:rowOff>85725</xdr:rowOff>
        </xdr:from>
        <xdr:to>
          <xdr:col>3</xdr:col>
          <xdr:colOff>466725</xdr:colOff>
          <xdr:row>13</xdr:row>
          <xdr:rowOff>314325</xdr:rowOff>
        </xdr:to>
        <xdr:sp macro="" textlink="">
          <xdr:nvSpPr>
            <xdr:cNvPr id="1041" name="systemtype"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2</xdr:col>
      <xdr:colOff>11905</xdr:colOff>
      <xdr:row>12</xdr:row>
      <xdr:rowOff>19172</xdr:rowOff>
    </xdr:from>
    <xdr:to>
      <xdr:col>3</xdr:col>
      <xdr:colOff>429271</xdr:colOff>
      <xdr:row>13</xdr:row>
      <xdr:rowOff>107475</xdr:rowOff>
    </xdr:to>
    <xdr:sp macro="[0]!Sheet1.chambersize_Change" textlink="">
      <xdr:nvSpPr>
        <xdr:cNvPr id="6" name="TextBox 5">
          <a:extLst>
            <a:ext uri="{FF2B5EF4-FFF2-40B4-BE49-F238E27FC236}">
              <a16:creationId xmlns:a16="http://schemas.microsoft.com/office/drawing/2014/main" id="{F499CBDC-1F42-4AA5-9D5F-D3D399F66EDE}"/>
            </a:ext>
          </a:extLst>
        </xdr:cNvPr>
        <xdr:cNvSpPr txBox="1"/>
      </xdr:nvSpPr>
      <xdr:spPr>
        <a:xfrm>
          <a:off x="2047874" y="2674266"/>
          <a:ext cx="929335" cy="2907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100"/>
            <a:t>System Type</a:t>
          </a:r>
        </a:p>
      </xdr:txBody>
    </xdr:sp>
    <xdr:clientData/>
  </xdr:twoCellAnchor>
  <xdr:twoCellAnchor>
    <xdr:from>
      <xdr:col>4</xdr:col>
      <xdr:colOff>121866</xdr:colOff>
      <xdr:row>12</xdr:row>
      <xdr:rowOff>19172</xdr:rowOff>
    </xdr:from>
    <xdr:to>
      <xdr:col>6</xdr:col>
      <xdr:colOff>404072</xdr:colOff>
      <xdr:row>13</xdr:row>
      <xdr:rowOff>101760</xdr:rowOff>
    </xdr:to>
    <xdr:sp macro="[0]!Sheet1.chambersize_Change" textlink="">
      <xdr:nvSpPr>
        <xdr:cNvPr id="41" name="TextBox 40">
          <a:extLst>
            <a:ext uri="{FF2B5EF4-FFF2-40B4-BE49-F238E27FC236}">
              <a16:creationId xmlns:a16="http://schemas.microsoft.com/office/drawing/2014/main" id="{426F1104-1797-499A-93FF-9DBA80BC3F4D}"/>
            </a:ext>
          </a:extLst>
        </xdr:cNvPr>
        <xdr:cNvSpPr txBox="1"/>
      </xdr:nvSpPr>
      <xdr:spPr>
        <a:xfrm>
          <a:off x="3307449" y="2675589"/>
          <a:ext cx="1425206" cy="2836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Thermoplastic Liner</a:t>
          </a:r>
        </a:p>
      </xdr:txBody>
    </xdr:sp>
    <xdr:clientData/>
  </xdr:twoCellAnchor>
  <xdr:twoCellAnchor>
    <xdr:from>
      <xdr:col>22</xdr:col>
      <xdr:colOff>166688</xdr:colOff>
      <xdr:row>51</xdr:row>
      <xdr:rowOff>94531</xdr:rowOff>
    </xdr:from>
    <xdr:to>
      <xdr:col>24</xdr:col>
      <xdr:colOff>478254</xdr:colOff>
      <xdr:row>54</xdr:row>
      <xdr:rowOff>48047</xdr:rowOff>
    </xdr:to>
    <xdr:sp macro="" textlink="">
      <xdr:nvSpPr>
        <xdr:cNvPr id="42" name="TextBox 41">
          <a:extLst>
            <a:ext uri="{FF2B5EF4-FFF2-40B4-BE49-F238E27FC236}">
              <a16:creationId xmlns:a16="http://schemas.microsoft.com/office/drawing/2014/main" id="{83EE1443-0316-41F9-AFA3-FFCE1F8ED582}"/>
            </a:ext>
          </a:extLst>
        </xdr:cNvPr>
        <xdr:cNvSpPr txBox="1"/>
      </xdr:nvSpPr>
      <xdr:spPr>
        <a:xfrm>
          <a:off x="11834813" y="11429281"/>
          <a:ext cx="1549816" cy="5250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Thermoplastic Liner</a:t>
          </a:r>
          <a:br>
            <a:rPr lang="en-US" sz="1100"/>
          </a:br>
          <a:r>
            <a:rPr lang="en-US" sz="1100"/>
            <a:t>Length</a:t>
          </a:r>
        </a:p>
        <a:p>
          <a:pPr algn="ctr"/>
          <a:endParaRPr lang="en-US" sz="900"/>
        </a:p>
      </xdr:txBody>
    </xdr:sp>
    <xdr:clientData/>
  </xdr:twoCellAnchor>
  <xdr:twoCellAnchor>
    <xdr:from>
      <xdr:col>24</xdr:col>
      <xdr:colOff>399797</xdr:colOff>
      <xdr:row>51</xdr:row>
      <xdr:rowOff>82626</xdr:rowOff>
    </xdr:from>
    <xdr:to>
      <xdr:col>28</xdr:col>
      <xdr:colOff>166686</xdr:colOff>
      <xdr:row>54</xdr:row>
      <xdr:rowOff>54527</xdr:rowOff>
    </xdr:to>
    <xdr:sp macro="" textlink="">
      <xdr:nvSpPr>
        <xdr:cNvPr id="44" name="TextBox 43">
          <a:extLst>
            <a:ext uri="{FF2B5EF4-FFF2-40B4-BE49-F238E27FC236}">
              <a16:creationId xmlns:a16="http://schemas.microsoft.com/office/drawing/2014/main" id="{E703C99C-D1B7-4B54-8236-49CE255AD8A5}"/>
            </a:ext>
          </a:extLst>
        </xdr:cNvPr>
        <xdr:cNvSpPr txBox="1"/>
      </xdr:nvSpPr>
      <xdr:spPr>
        <a:xfrm>
          <a:off x="13306172" y="11417376"/>
          <a:ext cx="1457577" cy="5434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1100"/>
            <a:t>Thermoplastic Liner</a:t>
          </a:r>
          <a:br>
            <a:rPr lang="en-US" sz="1100"/>
          </a:br>
          <a:r>
            <a:rPr lang="en-US" sz="1100"/>
            <a:t>Width</a:t>
          </a:r>
        </a:p>
        <a:p>
          <a:pPr algn="ctr"/>
          <a:endParaRPr lang="en-US" sz="900"/>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28</xdr:col>
          <xdr:colOff>76200</xdr:colOff>
          <xdr:row>19</xdr:row>
          <xdr:rowOff>0</xdr:rowOff>
        </xdr:from>
        <xdr:to>
          <xdr:col>53</xdr:col>
          <xdr:colOff>160267</xdr:colOff>
          <xdr:row>34</xdr:row>
          <xdr:rowOff>47625</xdr:rowOff>
        </xdr:to>
        <xdr:pic>
          <xdr:nvPicPr>
            <xdr:cNvPr id="61" name="Picture 5">
              <a:extLst>
                <a:ext uri="{FF2B5EF4-FFF2-40B4-BE49-F238E27FC236}">
                  <a16:creationId xmlns:a16="http://schemas.microsoft.com/office/drawing/2014/main" id="{00000000-0008-0000-0100-00003D000000}"/>
                </a:ext>
              </a:extLst>
            </xdr:cNvPr>
            <xdr:cNvPicPr>
              <a:picLocks noChangeArrowheads="1"/>
              <a:extLst>
                <a:ext uri="{84589F7E-364E-4C9E-8A38-B11213B215E9}">
                  <a14:cameraTool cellRange="ChamberManifold" spid="_x0000_s42914"/>
                </a:ext>
              </a:extLst>
            </xdr:cNvPicPr>
          </xdr:nvPicPr>
          <xdr:blipFill>
            <a:blip xmlns:r="http://schemas.openxmlformats.org/officeDocument/2006/relationships" r:embed="rId1"/>
            <a:srcRect/>
            <a:stretch>
              <a:fillRect/>
            </a:stretch>
          </xdr:blipFill>
          <xdr:spPr bwMode="auto">
            <a:xfrm>
              <a:off x="6524625" y="3524250"/>
              <a:ext cx="5132317" cy="306705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40</xdr:col>
      <xdr:colOff>15240</xdr:colOff>
      <xdr:row>11</xdr:row>
      <xdr:rowOff>85347</xdr:rowOff>
    </xdr:from>
    <xdr:to>
      <xdr:col>43</xdr:col>
      <xdr:colOff>186603</xdr:colOff>
      <xdr:row>13</xdr:row>
      <xdr:rowOff>23813</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8301990" y="2076072"/>
          <a:ext cx="800013" cy="2813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Max. Pavement</a:t>
          </a:r>
          <a:r>
            <a:rPr lang="en-US" sz="800" baseline="0">
              <a:latin typeface="Arial" panose="020B0604020202020204" pitchFamily="34" charset="0"/>
              <a:cs typeface="Arial" panose="020B0604020202020204" pitchFamily="34" charset="0"/>
            </a:rPr>
            <a:t> Elevation</a:t>
          </a:r>
          <a:endParaRPr lang="en-US" sz="800">
            <a:latin typeface="Arial" panose="020B0604020202020204" pitchFamily="34" charset="0"/>
            <a:cs typeface="Arial" panose="020B0604020202020204" pitchFamily="34" charset="0"/>
          </a:endParaRPr>
        </a:p>
      </xdr:txBody>
    </xdr:sp>
    <xdr:clientData/>
  </xdr:twoCellAnchor>
  <xdr:twoCellAnchor>
    <xdr:from>
      <xdr:col>47</xdr:col>
      <xdr:colOff>53340</xdr:colOff>
      <xdr:row>11</xdr:row>
      <xdr:rowOff>95250</xdr:rowOff>
    </xdr:from>
    <xdr:to>
      <xdr:col>51</xdr:col>
      <xdr:colOff>137391</xdr:colOff>
      <xdr:row>13</xdr:row>
      <xdr:rowOff>31750</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9797415" y="2085975"/>
          <a:ext cx="693651" cy="279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Min. Pavement Elevation</a:t>
          </a:r>
        </a:p>
      </xdr:txBody>
    </xdr:sp>
    <xdr:clientData/>
  </xdr:twoCellAnchor>
  <xdr:twoCellAnchor>
    <xdr:from>
      <xdr:col>31</xdr:col>
      <xdr:colOff>92258</xdr:colOff>
      <xdr:row>40</xdr:row>
      <xdr:rowOff>58237</xdr:rowOff>
    </xdr:from>
    <xdr:to>
      <xdr:col>36</xdr:col>
      <xdr:colOff>173856</xdr:colOff>
      <xdr:row>42</xdr:row>
      <xdr:rowOff>19685</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7542169" y="7603398"/>
          <a:ext cx="1238205" cy="2880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Woven</a:t>
          </a:r>
          <a:r>
            <a:rPr lang="en-US" sz="800" baseline="0">
              <a:latin typeface="Arial" panose="020B0604020202020204" pitchFamily="34" charset="0"/>
              <a:cs typeface="Arial" panose="020B0604020202020204" pitchFamily="34" charset="0"/>
            </a:rPr>
            <a:t> Geotextile</a:t>
          </a:r>
          <a:endParaRPr lang="en-US" sz="600">
            <a:latin typeface="Arial" panose="020B0604020202020204" pitchFamily="34" charset="0"/>
            <a:cs typeface="Arial" panose="020B0604020202020204" pitchFamily="34" charset="0"/>
          </a:endParaRPr>
        </a:p>
      </xdr:txBody>
    </xdr:sp>
    <xdr:clientData/>
  </xdr:twoCellAnchor>
  <xdr:twoCellAnchor>
    <xdr:from>
      <xdr:col>40</xdr:col>
      <xdr:colOff>168276</xdr:colOff>
      <xdr:row>36</xdr:row>
      <xdr:rowOff>132827</xdr:rowOff>
    </xdr:from>
    <xdr:to>
      <xdr:col>46</xdr:col>
      <xdr:colOff>125624</xdr:colOff>
      <xdr:row>37</xdr:row>
      <xdr:rowOff>76200</xdr:rowOff>
    </xdr:to>
    <xdr:sp macro="" textlink="">
      <xdr:nvSpPr>
        <xdr:cNvPr id="5" name="TextBox 4">
          <a:extLst>
            <a:ext uri="{FF2B5EF4-FFF2-40B4-BE49-F238E27FC236}">
              <a16:creationId xmlns:a16="http://schemas.microsoft.com/office/drawing/2014/main" id="{00000000-0008-0000-0100-000005000000}"/>
            </a:ext>
          </a:extLst>
        </xdr:cNvPr>
        <xdr:cNvSpPr txBox="1"/>
      </xdr:nvSpPr>
      <xdr:spPr>
        <a:xfrm>
          <a:off x="8959851" y="7143227"/>
          <a:ext cx="1300373" cy="862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Total System Storage</a:t>
          </a:r>
        </a:p>
      </xdr:txBody>
    </xdr:sp>
    <xdr:clientData/>
  </xdr:twoCellAnchor>
  <xdr:twoCellAnchor>
    <xdr:from>
      <xdr:col>5</xdr:col>
      <xdr:colOff>39743</xdr:colOff>
      <xdr:row>18</xdr:row>
      <xdr:rowOff>7177</xdr:rowOff>
    </xdr:from>
    <xdr:to>
      <xdr:col>30</xdr:col>
      <xdr:colOff>56517</xdr:colOff>
      <xdr:row>29</xdr:row>
      <xdr:rowOff>25909</xdr:rowOff>
    </xdr:to>
    <xdr:grpSp>
      <xdr:nvGrpSpPr>
        <xdr:cNvPr id="7" name="Group 6">
          <a:extLst>
            <a:ext uri="{FF2B5EF4-FFF2-40B4-BE49-F238E27FC236}">
              <a16:creationId xmlns:a16="http://schemas.microsoft.com/office/drawing/2014/main" id="{00000000-0008-0000-0100-000007000000}"/>
            </a:ext>
          </a:extLst>
        </xdr:cNvPr>
        <xdr:cNvGrpSpPr/>
      </xdr:nvGrpSpPr>
      <xdr:grpSpPr>
        <a:xfrm>
          <a:off x="887468" y="3426652"/>
          <a:ext cx="6084199" cy="2409507"/>
          <a:chOff x="809625" y="3095625"/>
          <a:chExt cx="5193888" cy="2409825"/>
        </a:xfrm>
      </xdr:grpSpPr>
      <xdr:pic>
        <xdr:nvPicPr>
          <xdr:cNvPr id="8" name="Picture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09625" y="3095625"/>
            <a:ext cx="4986528" cy="2298192"/>
          </a:xfrm>
          <a:prstGeom prst="rect">
            <a:avLst/>
          </a:prstGeom>
        </xdr:spPr>
      </xdr:pic>
      <xdr:sp macro="" textlink="'LB Calcs'!J27">
        <xdr:nvSpPr>
          <xdr:cNvPr id="9" name="Rectangle 8">
            <a:extLst>
              <a:ext uri="{FF2B5EF4-FFF2-40B4-BE49-F238E27FC236}">
                <a16:creationId xmlns:a16="http://schemas.microsoft.com/office/drawing/2014/main" id="{00000000-0008-0000-0100-000009000000}"/>
              </a:ext>
            </a:extLst>
          </xdr:cNvPr>
          <xdr:cNvSpPr/>
        </xdr:nvSpPr>
        <xdr:spPr>
          <a:xfrm>
            <a:off x="5034367" y="4274634"/>
            <a:ext cx="417121" cy="193085"/>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ADCCE70C-08C7-4D08-AA57-FA68BB385D4F}" type="TxLink">
              <a:rPr lang="en-US" sz="800" b="0" i="0" u="none" strike="noStrike">
                <a:solidFill>
                  <a:srgbClr val="000000"/>
                </a:solidFill>
                <a:latin typeface="Arial"/>
                <a:cs typeface="Arial"/>
              </a:rPr>
              <a:pPr/>
              <a:t>60 in</a:t>
            </a:fld>
            <a:endParaRPr lang="en-US" sz="600">
              <a:latin typeface="Arial"/>
              <a:cs typeface="Arial"/>
            </a:endParaRPr>
          </a:p>
        </xdr:txBody>
      </xdr:sp>
      <xdr:sp macro="" textlink="'LB Calcs'!J22">
        <xdr:nvSpPr>
          <xdr:cNvPr id="10" name="Rectangle 9">
            <a:extLst>
              <a:ext uri="{FF2B5EF4-FFF2-40B4-BE49-F238E27FC236}">
                <a16:creationId xmlns:a16="http://schemas.microsoft.com/office/drawing/2014/main" id="{00000000-0008-0000-0100-00000A000000}"/>
              </a:ext>
            </a:extLst>
          </xdr:cNvPr>
          <xdr:cNvSpPr/>
        </xdr:nvSpPr>
        <xdr:spPr>
          <a:xfrm>
            <a:off x="3002132" y="5397499"/>
            <a:ext cx="390655" cy="84139"/>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0CC271C0-CC8F-49C0-833E-EAF779DF7C2A}" type="TxLink">
              <a:rPr lang="en-US" sz="600" b="0" i="0" u="none" strike="noStrike">
                <a:solidFill>
                  <a:srgbClr val="000000"/>
                </a:solidFill>
                <a:latin typeface="Arial"/>
                <a:cs typeface="Arial"/>
              </a:rPr>
              <a:pPr/>
              <a:t>8.5 in</a:t>
            </a:fld>
            <a:endParaRPr lang="en-US" sz="600">
              <a:latin typeface="Arial"/>
              <a:cs typeface="Arial"/>
            </a:endParaRPr>
          </a:p>
        </xdr:txBody>
      </xdr:sp>
      <xdr:sp macro="" textlink="'LB Calcs'!J26">
        <xdr:nvSpPr>
          <xdr:cNvPr id="11" name="Rectangle 10">
            <a:extLst>
              <a:ext uri="{FF2B5EF4-FFF2-40B4-BE49-F238E27FC236}">
                <a16:creationId xmlns:a16="http://schemas.microsoft.com/office/drawing/2014/main" id="{00000000-0008-0000-0100-00000B000000}"/>
              </a:ext>
            </a:extLst>
          </xdr:cNvPr>
          <xdr:cNvSpPr/>
        </xdr:nvSpPr>
        <xdr:spPr>
          <a:xfrm>
            <a:off x="5065713" y="4770438"/>
            <a:ext cx="393604" cy="68262"/>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E338EEB8-2C7F-4EC7-9BA9-F0D19ACF3B3C}" type="TxLink">
              <a:rPr lang="en-US" sz="600" b="0" i="0" u="none" strike="noStrike">
                <a:solidFill>
                  <a:srgbClr val="000000"/>
                </a:solidFill>
                <a:latin typeface="Arial"/>
                <a:cs typeface="Arial"/>
              </a:rPr>
              <a:pPr/>
              <a:t>9 in</a:t>
            </a:fld>
            <a:endParaRPr lang="en-US" sz="600">
              <a:latin typeface="Arial"/>
              <a:cs typeface="Arial"/>
            </a:endParaRPr>
          </a:p>
        </xdr:txBody>
      </xdr:sp>
      <xdr:sp macro="" textlink="'LB Calcs'!J28">
        <xdr:nvSpPr>
          <xdr:cNvPr id="12" name="Rectangle 11">
            <a:extLst>
              <a:ext uri="{FF2B5EF4-FFF2-40B4-BE49-F238E27FC236}">
                <a16:creationId xmlns:a16="http://schemas.microsoft.com/office/drawing/2014/main" id="{00000000-0008-0000-0100-00000C000000}"/>
              </a:ext>
            </a:extLst>
          </xdr:cNvPr>
          <xdr:cNvSpPr/>
        </xdr:nvSpPr>
        <xdr:spPr>
          <a:xfrm>
            <a:off x="5022813" y="3838152"/>
            <a:ext cx="352988" cy="84137"/>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2BB90E18-259B-4DE7-9A80-C69896A45162}" type="TxLink">
              <a:rPr lang="en-US" sz="600" b="0" i="0" u="none" strike="noStrike">
                <a:solidFill>
                  <a:srgbClr val="000000"/>
                </a:solidFill>
                <a:latin typeface="Arial"/>
                <a:cs typeface="Arial"/>
              </a:rPr>
              <a:pPr/>
              <a:t>12 in</a:t>
            </a:fld>
            <a:endParaRPr lang="en-US" sz="600">
              <a:latin typeface="Arial"/>
              <a:cs typeface="Arial"/>
            </a:endParaRPr>
          </a:p>
        </xdr:txBody>
      </xdr:sp>
      <xdr:sp macro="" textlink="'LB Calcs'!J30">
        <xdr:nvSpPr>
          <xdr:cNvPr id="13" name="Rectangle 12">
            <a:extLst>
              <a:ext uri="{FF2B5EF4-FFF2-40B4-BE49-F238E27FC236}">
                <a16:creationId xmlns:a16="http://schemas.microsoft.com/office/drawing/2014/main" id="{00000000-0008-0000-0100-00000D000000}"/>
              </a:ext>
            </a:extLst>
          </xdr:cNvPr>
          <xdr:cNvSpPr/>
        </xdr:nvSpPr>
        <xdr:spPr>
          <a:xfrm>
            <a:off x="5330018" y="3651585"/>
            <a:ext cx="305897" cy="171448"/>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93EFCC43-F49B-4B56-9B94-FB3BC00F2DC0}" type="TxLink">
              <a:rPr lang="en-US" sz="600" b="0" i="0" u="none" strike="noStrike">
                <a:solidFill>
                  <a:srgbClr val="000000"/>
                </a:solidFill>
                <a:latin typeface="Arial"/>
                <a:cs typeface="Arial"/>
              </a:rPr>
              <a:pPr/>
              <a:t>24 in</a:t>
            </a:fld>
            <a:endParaRPr lang="en-US" sz="600">
              <a:latin typeface="Arial"/>
              <a:cs typeface="Arial"/>
            </a:endParaRPr>
          </a:p>
        </xdr:txBody>
      </xdr:sp>
      <xdr:sp macro="" textlink="'LB Calcs'!J24">
        <xdr:nvSpPr>
          <xdr:cNvPr id="14" name="Rectangle 13">
            <a:extLst>
              <a:ext uri="{FF2B5EF4-FFF2-40B4-BE49-F238E27FC236}">
                <a16:creationId xmlns:a16="http://schemas.microsoft.com/office/drawing/2014/main" id="{00000000-0008-0000-0100-00000E000000}"/>
              </a:ext>
            </a:extLst>
          </xdr:cNvPr>
          <xdr:cNvSpPr/>
        </xdr:nvSpPr>
        <xdr:spPr>
          <a:xfrm>
            <a:off x="4298405" y="5380302"/>
            <a:ext cx="576436" cy="125148"/>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965760DD-5ABE-4C99-8F1D-FCFF95F0409F}" type="TxLink">
              <a:rPr lang="en-US" sz="600" b="0" i="0" u="none" strike="noStrike">
                <a:solidFill>
                  <a:srgbClr val="000000"/>
                </a:solidFill>
                <a:latin typeface="Arial"/>
                <a:cs typeface="Arial"/>
              </a:rPr>
              <a:pPr/>
              <a:t>12 in</a:t>
            </a:fld>
            <a:endParaRPr lang="en-US" sz="600">
              <a:latin typeface="Arial"/>
              <a:cs typeface="Arial"/>
            </a:endParaRPr>
          </a:p>
        </xdr:txBody>
      </xdr:sp>
      <xdr:sp macro="" textlink="'LB Calcs'!J23">
        <xdr:nvSpPr>
          <xdr:cNvPr id="15" name="Rectangle 14">
            <a:extLst>
              <a:ext uri="{FF2B5EF4-FFF2-40B4-BE49-F238E27FC236}">
                <a16:creationId xmlns:a16="http://schemas.microsoft.com/office/drawing/2014/main" id="{00000000-0008-0000-0100-00000F000000}"/>
              </a:ext>
            </a:extLst>
          </xdr:cNvPr>
          <xdr:cNvSpPr/>
        </xdr:nvSpPr>
        <xdr:spPr>
          <a:xfrm>
            <a:off x="3671180" y="5232399"/>
            <a:ext cx="488728" cy="130176"/>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8BE403E2-C972-4C35-A9A0-6AE2F4FFAC30}" type="TxLink">
              <a:rPr lang="en-US" sz="600" b="0" i="0" u="none" strike="noStrike">
                <a:solidFill>
                  <a:srgbClr val="000000"/>
                </a:solidFill>
                <a:latin typeface="Arial"/>
                <a:cs typeface="Arial"/>
              </a:rPr>
              <a:pPr/>
              <a:t>100.5 in</a:t>
            </a:fld>
            <a:endParaRPr lang="en-US" sz="600">
              <a:latin typeface="Arial"/>
              <a:cs typeface="Arial"/>
            </a:endParaRPr>
          </a:p>
        </xdr:txBody>
      </xdr:sp>
      <xdr:sp macro="" textlink="'LB Calcs'!J36">
        <xdr:nvSpPr>
          <xdr:cNvPr id="16" name="Rectangle 15">
            <a:extLst>
              <a:ext uri="{FF2B5EF4-FFF2-40B4-BE49-F238E27FC236}">
                <a16:creationId xmlns:a16="http://schemas.microsoft.com/office/drawing/2014/main" id="{00000000-0008-0000-0100-000010000000}"/>
              </a:ext>
            </a:extLst>
          </xdr:cNvPr>
          <xdr:cNvSpPr/>
        </xdr:nvSpPr>
        <xdr:spPr>
          <a:xfrm>
            <a:off x="5700663" y="3653841"/>
            <a:ext cx="302850" cy="98726"/>
          </a:xfrm>
          <a:prstGeom prst="rect">
            <a:avLst/>
          </a:prstGeom>
          <a:solidFill>
            <a:schemeClr val="bg1"/>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algn="ctr"/>
            <a:fld id="{F5ADEC2C-D1E9-462A-BCA0-EC27BECAF303}" type="TxLink">
              <a:rPr lang="en-US" sz="600" b="0" i="0" u="none" strike="noStrike">
                <a:solidFill>
                  <a:srgbClr val="000000"/>
                </a:solidFill>
                <a:latin typeface="Arial"/>
                <a:cs typeface="Arial"/>
              </a:rPr>
              <a:pPr algn="ctr"/>
              <a:t> </a:t>
            </a:fld>
            <a:endParaRPr lang="en-US" sz="600">
              <a:latin typeface="Arial"/>
              <a:cs typeface="Arial"/>
            </a:endParaRPr>
          </a:p>
        </xdr:txBody>
      </xdr:sp>
    </xdr:grpSp>
    <xdr:clientData/>
  </xdr:twoCellAnchor>
  <xdr:twoCellAnchor>
    <xdr:from>
      <xdr:col>46</xdr:col>
      <xdr:colOff>79418</xdr:colOff>
      <xdr:row>27</xdr:row>
      <xdr:rowOff>111934</xdr:rowOff>
    </xdr:from>
    <xdr:to>
      <xdr:col>47</xdr:col>
      <xdr:colOff>82462</xdr:colOff>
      <xdr:row>30</xdr:row>
      <xdr:rowOff>57736</xdr:rowOff>
    </xdr:to>
    <xdr:sp macro="" textlink="'LB Calcs'!J19">
      <xdr:nvSpPr>
        <xdr:cNvPr id="21" name="Rectangle 20">
          <a:extLst>
            <a:ext uri="{FF2B5EF4-FFF2-40B4-BE49-F238E27FC236}">
              <a16:creationId xmlns:a16="http://schemas.microsoft.com/office/drawing/2014/main" id="{00000000-0008-0000-0100-000015000000}"/>
            </a:ext>
          </a:extLst>
        </xdr:cNvPr>
        <xdr:cNvSpPr/>
      </xdr:nvSpPr>
      <xdr:spPr>
        <a:xfrm rot="17700000">
          <a:off x="10780802" y="5755450"/>
          <a:ext cx="460152" cy="164969"/>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marL="0" indent="0"/>
          <a:fld id="{0DF94949-0C09-47A0-A555-F2385E00FD59}" type="TxLink">
            <a:rPr lang="en-US" sz="800" b="0" i="0" u="none" strike="noStrike">
              <a:solidFill>
                <a:srgbClr val="000000"/>
              </a:solidFill>
              <a:latin typeface="Arial"/>
              <a:ea typeface="+mn-ea"/>
              <a:cs typeface="Arial"/>
            </a:rPr>
            <a:pPr marL="0" indent="0"/>
            <a:t>108.3 ft</a:t>
          </a:fld>
          <a:endParaRPr lang="en-US" sz="600" b="0" i="0" u="none" strike="noStrike">
            <a:solidFill>
              <a:srgbClr val="000000"/>
            </a:solidFill>
            <a:latin typeface="Arial"/>
            <a:ea typeface="+mn-ea"/>
            <a:cs typeface="Arial"/>
          </a:endParaRPr>
        </a:p>
      </xdr:txBody>
    </xdr:sp>
    <xdr:clientData/>
  </xdr:twoCellAnchor>
  <xdr:twoCellAnchor>
    <xdr:from>
      <xdr:col>47</xdr:col>
      <xdr:colOff>57603</xdr:colOff>
      <xdr:row>28</xdr:row>
      <xdr:rowOff>18870</xdr:rowOff>
    </xdr:from>
    <xdr:to>
      <xdr:col>48</xdr:col>
      <xdr:colOff>134324</xdr:colOff>
      <xdr:row>30</xdr:row>
      <xdr:rowOff>225576</xdr:rowOff>
    </xdr:to>
    <xdr:sp macro="" textlink="'LB Calcs'!J21">
      <xdr:nvSpPr>
        <xdr:cNvPr id="22" name="Rectangle 21">
          <a:extLst>
            <a:ext uri="{FF2B5EF4-FFF2-40B4-BE49-F238E27FC236}">
              <a16:creationId xmlns:a16="http://schemas.microsoft.com/office/drawing/2014/main" id="{00000000-0008-0000-0100-000016000000}"/>
            </a:ext>
          </a:extLst>
        </xdr:cNvPr>
        <xdr:cNvSpPr/>
      </xdr:nvSpPr>
      <xdr:spPr>
        <a:xfrm rot="17700000">
          <a:off x="10941598" y="5870300"/>
          <a:ext cx="492456" cy="238646"/>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marL="0" indent="0"/>
          <a:fld id="{A0E6A87A-1348-4A79-A3E2-5ADE18C907CA}" type="TxLink">
            <a:rPr lang="en-US" sz="800" b="0" i="0" u="none" strike="noStrike">
              <a:solidFill>
                <a:sysClr val="windowText" lastClr="000000"/>
              </a:solidFill>
              <a:latin typeface="Arial"/>
              <a:ea typeface="+mn-ea"/>
              <a:cs typeface="Arial"/>
            </a:rPr>
            <a:pPr marL="0" indent="0"/>
            <a:t>110.3 ft</a:t>
          </a:fld>
          <a:endParaRPr lang="en-US" sz="600" b="0" i="0" u="none" strike="noStrike">
            <a:solidFill>
              <a:sysClr val="windowText" lastClr="000000"/>
            </a:solidFill>
            <a:latin typeface="Arial"/>
            <a:ea typeface="+mn-ea"/>
            <a:cs typeface="Arial"/>
          </a:endParaRPr>
        </a:p>
      </xdr:txBody>
    </xdr:sp>
    <xdr:clientData/>
  </xdr:twoCellAnchor>
  <mc:AlternateContent xmlns:mc="http://schemas.openxmlformats.org/markup-compatibility/2006">
    <mc:Choice xmlns:a14="http://schemas.microsoft.com/office/drawing/2010/main" Requires="a14">
      <xdr:twoCellAnchor editAs="oneCell">
        <xdr:from>
          <xdr:col>22</xdr:col>
          <xdr:colOff>38100</xdr:colOff>
          <xdr:row>9</xdr:row>
          <xdr:rowOff>95250</xdr:rowOff>
        </xdr:from>
        <xdr:to>
          <xdr:col>26</xdr:col>
          <xdr:colOff>38100</xdr:colOff>
          <xdr:row>11</xdr:row>
          <xdr:rowOff>19050</xdr:rowOff>
        </xdr:to>
        <xdr:sp macro="" textlink="">
          <xdr:nvSpPr>
            <xdr:cNvPr id="2049" name="Drop Down A"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76200</xdr:colOff>
          <xdr:row>9</xdr:row>
          <xdr:rowOff>95250</xdr:rowOff>
        </xdr:from>
        <xdr:to>
          <xdr:col>34</xdr:col>
          <xdr:colOff>76200</xdr:colOff>
          <xdr:row>10</xdr:row>
          <xdr:rowOff>209550</xdr:rowOff>
        </xdr:to>
        <xdr:sp macro="" textlink="">
          <xdr:nvSpPr>
            <xdr:cNvPr id="2050" name="Drop Down 2" hidden="1">
              <a:extLst>
                <a:ext uri="{63B3BB69-23CF-44E3-9099-C40C66FF867C}">
                  <a14:compatExt spid="_x0000_s2050"/>
                </a:ext>
                <a:ext uri="{FF2B5EF4-FFF2-40B4-BE49-F238E27FC236}">
                  <a16:creationId xmlns:a16="http://schemas.microsoft.com/office/drawing/2014/main" id="{00000000-0008-0000-0100-000002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48</xdr:col>
          <xdr:colOff>0</xdr:colOff>
          <xdr:row>9</xdr:row>
          <xdr:rowOff>95250</xdr:rowOff>
        </xdr:from>
        <xdr:to>
          <xdr:col>53</xdr:col>
          <xdr:colOff>76200</xdr:colOff>
          <xdr:row>10</xdr:row>
          <xdr:rowOff>209550</xdr:rowOff>
        </xdr:to>
        <xdr:sp macro="" textlink="">
          <xdr:nvSpPr>
            <xdr:cNvPr id="2051" name="Drop Down 3" hidden="1">
              <a:extLst>
                <a:ext uri="{63B3BB69-23CF-44E3-9099-C40C66FF867C}">
                  <a14:compatExt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7</xdr:col>
      <xdr:colOff>125695</xdr:colOff>
      <xdr:row>44</xdr:row>
      <xdr:rowOff>82549</xdr:rowOff>
    </xdr:from>
    <xdr:to>
      <xdr:col>52</xdr:col>
      <xdr:colOff>36317</xdr:colOff>
      <xdr:row>44</xdr:row>
      <xdr:rowOff>180974</xdr:rowOff>
    </xdr:to>
    <xdr:sp macro="" textlink="">
      <xdr:nvSpPr>
        <xdr:cNvPr id="27" name="TextBox 26">
          <a:extLst>
            <a:ext uri="{FF2B5EF4-FFF2-40B4-BE49-F238E27FC236}">
              <a16:creationId xmlns:a16="http://schemas.microsoft.com/office/drawing/2014/main" id="{00000000-0008-0000-0100-00001B000000}"/>
            </a:ext>
          </a:extLst>
        </xdr:cNvPr>
        <xdr:cNvSpPr txBox="1"/>
      </xdr:nvSpPr>
      <xdr:spPr>
        <a:xfrm>
          <a:off x="1421095" y="8578849"/>
          <a:ext cx="9664222" cy="98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500" baseline="0">
              <a:latin typeface="Arial"/>
              <a:cs typeface="Arial"/>
            </a:rPr>
            <a:t>This tool is intended to assist in sizing stormwater management systems using Prinsco products. It should be used for estimating purposes only and is not intended to be a final design tool.  The design engineer needs to verify all the values and ensure they meet all project design criteria.</a:t>
          </a:r>
          <a:endParaRPr lang="en-US" sz="500">
            <a:latin typeface="Arial"/>
            <a:cs typeface="Arial"/>
          </a:endParaRPr>
        </a:p>
      </xdr:txBody>
    </xdr:sp>
    <xdr:clientData/>
  </xdr:twoCellAnchor>
  <xdr:twoCellAnchor>
    <xdr:from>
      <xdr:col>9</xdr:col>
      <xdr:colOff>20207</xdr:colOff>
      <xdr:row>43</xdr:row>
      <xdr:rowOff>240196</xdr:rowOff>
    </xdr:from>
    <xdr:to>
      <xdr:col>50</xdr:col>
      <xdr:colOff>2889</xdr:colOff>
      <xdr:row>44</xdr:row>
      <xdr:rowOff>7938</xdr:rowOff>
    </xdr:to>
    <xdr:sp macro="" textlink="">
      <xdr:nvSpPr>
        <xdr:cNvPr id="29" name="TextBox 28">
          <a:extLst>
            <a:ext uri="{FF2B5EF4-FFF2-40B4-BE49-F238E27FC236}">
              <a16:creationId xmlns:a16="http://schemas.microsoft.com/office/drawing/2014/main" id="{00000000-0008-0000-0100-00001D000000}"/>
            </a:ext>
          </a:extLst>
        </xdr:cNvPr>
        <xdr:cNvSpPr txBox="1"/>
      </xdr:nvSpPr>
      <xdr:spPr>
        <a:xfrm>
          <a:off x="1725182" y="7803046"/>
          <a:ext cx="8478982" cy="11064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800">
              <a:solidFill>
                <a:sysClr val="windowText" lastClr="000000"/>
              </a:solidFill>
              <a:latin typeface="Arial" panose="020B0604020202020204" pitchFamily="34" charset="0"/>
              <a:cs typeface="Arial" panose="020B0604020202020204" pitchFamily="34" charset="0"/>
            </a:rPr>
            <a:t>ASSISTANCE:  For assistance with design, drawings or pricing please have your completed system design aid ready, and contact your</a:t>
          </a:r>
          <a:r>
            <a:rPr lang="en-US" sz="800" baseline="0">
              <a:solidFill>
                <a:sysClr val="windowText" lastClr="000000"/>
              </a:solidFill>
              <a:latin typeface="Arial" panose="020B0604020202020204" pitchFamily="34" charset="0"/>
              <a:cs typeface="Arial" panose="020B0604020202020204" pitchFamily="34" charset="0"/>
            </a:rPr>
            <a:t> Prinsco</a:t>
          </a:r>
          <a:r>
            <a:rPr lang="en-US" sz="800">
              <a:solidFill>
                <a:sysClr val="windowText" lastClr="000000"/>
              </a:solidFill>
              <a:latin typeface="Arial" panose="020B0604020202020204" pitchFamily="34" charset="0"/>
              <a:cs typeface="Arial" panose="020B0604020202020204" pitchFamily="34" charset="0"/>
            </a:rPr>
            <a:t> sales representative</a:t>
          </a:r>
        </a:p>
      </xdr:txBody>
    </xdr:sp>
    <xdr:clientData/>
  </xdr:twoCellAnchor>
  <xdr:twoCellAnchor>
    <xdr:from>
      <xdr:col>14</xdr:col>
      <xdr:colOff>166688</xdr:colOff>
      <xdr:row>13</xdr:row>
      <xdr:rowOff>48611</xdr:rowOff>
    </xdr:from>
    <xdr:to>
      <xdr:col>18</xdr:col>
      <xdr:colOff>157859</xdr:colOff>
      <xdr:row>15</xdr:row>
      <xdr:rowOff>48611</xdr:rowOff>
    </xdr:to>
    <xdr:sp macro="" textlink="">
      <xdr:nvSpPr>
        <xdr:cNvPr id="30" name="TextBox 29">
          <a:extLst>
            <a:ext uri="{FF2B5EF4-FFF2-40B4-BE49-F238E27FC236}">
              <a16:creationId xmlns:a16="http://schemas.microsoft.com/office/drawing/2014/main" id="{00000000-0008-0000-0100-00001E000000}"/>
            </a:ext>
          </a:extLst>
        </xdr:cNvPr>
        <xdr:cNvSpPr txBox="1"/>
      </xdr:nvSpPr>
      <xdr:spPr>
        <a:xfrm>
          <a:off x="2986088" y="2382236"/>
          <a:ext cx="82937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Additional Stone Below Chamber*</a:t>
          </a:r>
        </a:p>
      </xdr:txBody>
    </xdr:sp>
    <xdr:clientData/>
  </xdr:twoCellAnchor>
  <xdr:twoCellAnchor>
    <xdr:from>
      <xdr:col>5</xdr:col>
      <xdr:colOff>79376</xdr:colOff>
      <xdr:row>13</xdr:row>
      <xdr:rowOff>47279</xdr:rowOff>
    </xdr:from>
    <xdr:to>
      <xdr:col>10</xdr:col>
      <xdr:colOff>51667</xdr:colOff>
      <xdr:row>15</xdr:row>
      <xdr:rowOff>47279</xdr:rowOff>
    </xdr:to>
    <xdr:sp macro="" textlink="">
      <xdr:nvSpPr>
        <xdr:cNvPr id="31" name="TextBox 30">
          <a:extLst>
            <a:ext uri="{FF2B5EF4-FFF2-40B4-BE49-F238E27FC236}">
              <a16:creationId xmlns:a16="http://schemas.microsoft.com/office/drawing/2014/main" id="{00000000-0008-0000-0100-00001F000000}"/>
            </a:ext>
          </a:extLst>
        </xdr:cNvPr>
        <xdr:cNvSpPr txBox="1"/>
      </xdr:nvSpPr>
      <xdr:spPr>
        <a:xfrm>
          <a:off x="927101" y="2380904"/>
          <a:ext cx="1039091"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Additional Stone Above Chamber*</a:t>
          </a:r>
        </a:p>
      </xdr:txBody>
    </xdr:sp>
    <xdr:clientData/>
  </xdr:twoCellAnchor>
  <xdr:twoCellAnchor>
    <xdr:from>
      <xdr:col>23</xdr:col>
      <xdr:colOff>126999</xdr:colOff>
      <xdr:row>11</xdr:row>
      <xdr:rowOff>78546</xdr:rowOff>
    </xdr:from>
    <xdr:to>
      <xdr:col>28</xdr:col>
      <xdr:colOff>26265</xdr:colOff>
      <xdr:row>13</xdr:row>
      <xdr:rowOff>31751</xdr:rowOff>
    </xdr:to>
    <xdr:sp macro="" textlink="">
      <xdr:nvSpPr>
        <xdr:cNvPr id="32" name="TextBox 31">
          <a:extLst>
            <a:ext uri="{FF2B5EF4-FFF2-40B4-BE49-F238E27FC236}">
              <a16:creationId xmlns:a16="http://schemas.microsoft.com/office/drawing/2014/main" id="{00000000-0008-0000-0100-000020000000}"/>
            </a:ext>
          </a:extLst>
        </xdr:cNvPr>
        <xdr:cNvSpPr txBox="1"/>
      </xdr:nvSpPr>
      <xdr:spPr>
        <a:xfrm>
          <a:off x="4832349" y="2069271"/>
          <a:ext cx="947016" cy="2961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Stone Porosity</a:t>
          </a:r>
        </a:p>
      </xdr:txBody>
    </xdr:sp>
    <xdr:clientData/>
  </xdr:twoCellAnchor>
  <xdr:twoCellAnchor>
    <xdr:from>
      <xdr:col>6</xdr:col>
      <xdr:colOff>150813</xdr:colOff>
      <xdr:row>11</xdr:row>
      <xdr:rowOff>98377</xdr:rowOff>
    </xdr:from>
    <xdr:to>
      <xdr:col>9</xdr:col>
      <xdr:colOff>119064</xdr:colOff>
      <xdr:row>13</xdr:row>
      <xdr:rowOff>55562</xdr:rowOff>
    </xdr:to>
    <xdr:sp macro="" textlink="">
      <xdr:nvSpPr>
        <xdr:cNvPr id="33" name="TextBox 32">
          <a:extLst>
            <a:ext uri="{FF2B5EF4-FFF2-40B4-BE49-F238E27FC236}">
              <a16:creationId xmlns:a16="http://schemas.microsoft.com/office/drawing/2014/main" id="{00000000-0008-0000-0100-000021000000}"/>
            </a:ext>
          </a:extLst>
        </xdr:cNvPr>
        <xdr:cNvSpPr txBox="1"/>
      </xdr:nvSpPr>
      <xdr:spPr>
        <a:xfrm>
          <a:off x="1227138" y="2089102"/>
          <a:ext cx="596901" cy="3000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Number of Rows</a:t>
          </a:r>
        </a:p>
      </xdr:txBody>
    </xdr:sp>
    <xdr:clientData/>
  </xdr:twoCellAnchor>
  <xdr:twoCellAnchor>
    <xdr:from>
      <xdr:col>27</xdr:col>
      <xdr:colOff>60031</xdr:colOff>
      <xdr:row>9</xdr:row>
      <xdr:rowOff>60643</xdr:rowOff>
    </xdr:from>
    <xdr:to>
      <xdr:col>29</xdr:col>
      <xdr:colOff>219103</xdr:colOff>
      <xdr:row>11</xdr:row>
      <xdr:rowOff>59055</xdr:rowOff>
    </xdr:to>
    <xdr:sp macro="" textlink="">
      <xdr:nvSpPr>
        <xdr:cNvPr id="34" name="TextBox 33">
          <a:extLst>
            <a:ext uri="{FF2B5EF4-FFF2-40B4-BE49-F238E27FC236}">
              <a16:creationId xmlns:a16="http://schemas.microsoft.com/office/drawing/2014/main" id="{00000000-0008-0000-0100-000022000000}"/>
            </a:ext>
          </a:extLst>
        </xdr:cNvPr>
        <xdr:cNvSpPr txBox="1"/>
      </xdr:nvSpPr>
      <xdr:spPr>
        <a:xfrm>
          <a:off x="6556081" y="2032318"/>
          <a:ext cx="616272" cy="3413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Number of Manifolds</a:t>
          </a:r>
        </a:p>
      </xdr:txBody>
    </xdr:sp>
    <xdr:clientData/>
  </xdr:twoCellAnchor>
  <xdr:twoCellAnchor>
    <xdr:from>
      <xdr:col>35</xdr:col>
      <xdr:colOff>86002</xdr:colOff>
      <xdr:row>9</xdr:row>
      <xdr:rowOff>98743</xdr:rowOff>
    </xdr:from>
    <xdr:to>
      <xdr:col>38</xdr:col>
      <xdr:colOff>51185</xdr:colOff>
      <xdr:row>11</xdr:row>
      <xdr:rowOff>20956</xdr:rowOff>
    </xdr:to>
    <xdr:sp macro="" textlink="">
      <xdr:nvSpPr>
        <xdr:cNvPr id="35" name="TextBox 34">
          <a:extLst>
            <a:ext uri="{FF2B5EF4-FFF2-40B4-BE49-F238E27FC236}">
              <a16:creationId xmlns:a16="http://schemas.microsoft.com/office/drawing/2014/main" id="{00000000-0008-0000-0100-000023000000}"/>
            </a:ext>
          </a:extLst>
        </xdr:cNvPr>
        <xdr:cNvSpPr txBox="1"/>
      </xdr:nvSpPr>
      <xdr:spPr>
        <a:xfrm>
          <a:off x="8410852" y="2070418"/>
          <a:ext cx="660508" cy="2651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Manifold Diameter</a:t>
          </a:r>
        </a:p>
      </xdr:txBody>
    </xdr:sp>
    <xdr:clientData/>
  </xdr:twoCellAnchor>
  <xdr:twoCellAnchor>
    <xdr:from>
      <xdr:col>19</xdr:col>
      <xdr:colOff>162423</xdr:colOff>
      <xdr:row>9</xdr:row>
      <xdr:rowOff>98743</xdr:rowOff>
    </xdr:from>
    <xdr:to>
      <xdr:col>21</xdr:col>
      <xdr:colOff>202657</xdr:colOff>
      <xdr:row>11</xdr:row>
      <xdr:rowOff>20956</xdr:rowOff>
    </xdr:to>
    <xdr:sp macro="" textlink="">
      <xdr:nvSpPr>
        <xdr:cNvPr id="36" name="TextBox 35">
          <a:extLst>
            <a:ext uri="{FF2B5EF4-FFF2-40B4-BE49-F238E27FC236}">
              <a16:creationId xmlns:a16="http://schemas.microsoft.com/office/drawing/2014/main" id="{00000000-0008-0000-0100-000024000000}"/>
            </a:ext>
          </a:extLst>
        </xdr:cNvPr>
        <xdr:cNvSpPr txBox="1"/>
      </xdr:nvSpPr>
      <xdr:spPr>
        <a:xfrm>
          <a:off x="4715373" y="2070418"/>
          <a:ext cx="611734" cy="2651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Chamber</a:t>
          </a:r>
          <a:r>
            <a:rPr lang="en-US" sz="800" baseline="0">
              <a:latin typeface="Arial" panose="020B0604020202020204" pitchFamily="34" charset="0"/>
              <a:cs typeface="Arial" panose="020B0604020202020204" pitchFamily="34" charset="0"/>
            </a:rPr>
            <a:t> Size</a:t>
          </a:r>
          <a:endParaRPr lang="en-US" sz="800">
            <a:latin typeface="Arial" panose="020B0604020202020204" pitchFamily="34" charset="0"/>
            <a:cs typeface="Arial" panose="020B0604020202020204" pitchFamily="34" charset="0"/>
          </a:endParaRPr>
        </a:p>
      </xdr:txBody>
    </xdr:sp>
    <xdr:clientData/>
  </xdr:twoCellAnchor>
  <xdr:twoCellAnchor>
    <xdr:from>
      <xdr:col>43</xdr:col>
      <xdr:colOff>140970</xdr:colOff>
      <xdr:row>9</xdr:row>
      <xdr:rowOff>98743</xdr:rowOff>
    </xdr:from>
    <xdr:to>
      <xdr:col>47</xdr:col>
      <xdr:colOff>97067</xdr:colOff>
      <xdr:row>11</xdr:row>
      <xdr:rowOff>20956</xdr:rowOff>
    </xdr:to>
    <xdr:sp macro="" textlink="">
      <xdr:nvSpPr>
        <xdr:cNvPr id="37" name="TextBox 36">
          <a:extLst>
            <a:ext uri="{FF2B5EF4-FFF2-40B4-BE49-F238E27FC236}">
              <a16:creationId xmlns:a16="http://schemas.microsoft.com/office/drawing/2014/main" id="{00000000-0008-0000-0100-000025000000}"/>
            </a:ext>
          </a:extLst>
        </xdr:cNvPr>
        <xdr:cNvSpPr txBox="1"/>
      </xdr:nvSpPr>
      <xdr:spPr>
        <a:xfrm>
          <a:off x="10304145" y="2070418"/>
          <a:ext cx="822872" cy="2651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Include Manifold Volume</a:t>
          </a:r>
        </a:p>
      </xdr:txBody>
    </xdr:sp>
    <xdr:clientData/>
  </xdr:twoCellAnchor>
  <xdr:twoCellAnchor>
    <xdr:from>
      <xdr:col>33</xdr:col>
      <xdr:colOff>133350</xdr:colOff>
      <xdr:row>36</xdr:row>
      <xdr:rowOff>15882</xdr:rowOff>
    </xdr:from>
    <xdr:to>
      <xdr:col>38</xdr:col>
      <xdr:colOff>75459</xdr:colOff>
      <xdr:row>38</xdr:row>
      <xdr:rowOff>88212</xdr:rowOff>
    </xdr:to>
    <xdr:sp macro="" textlink="">
      <xdr:nvSpPr>
        <xdr:cNvPr id="38" name="TextBox 37">
          <a:extLst>
            <a:ext uri="{FF2B5EF4-FFF2-40B4-BE49-F238E27FC236}">
              <a16:creationId xmlns:a16="http://schemas.microsoft.com/office/drawing/2014/main" id="{00000000-0008-0000-0100-000026000000}"/>
            </a:ext>
          </a:extLst>
        </xdr:cNvPr>
        <xdr:cNvSpPr txBox="1"/>
      </xdr:nvSpPr>
      <xdr:spPr>
        <a:xfrm>
          <a:off x="6934200" y="6435732"/>
          <a:ext cx="1008909" cy="3104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Chamber Storage</a:t>
          </a:r>
        </a:p>
      </xdr:txBody>
    </xdr:sp>
    <xdr:clientData/>
  </xdr:twoCellAnchor>
  <xdr:twoCellAnchor>
    <xdr:from>
      <xdr:col>18</xdr:col>
      <xdr:colOff>60266</xdr:colOff>
      <xdr:row>36</xdr:row>
      <xdr:rowOff>60331</xdr:rowOff>
    </xdr:from>
    <xdr:to>
      <xdr:col>21</xdr:col>
      <xdr:colOff>195054</xdr:colOff>
      <xdr:row>38</xdr:row>
      <xdr:rowOff>44870</xdr:rowOff>
    </xdr:to>
    <xdr:sp macro="" textlink="">
      <xdr:nvSpPr>
        <xdr:cNvPr id="39" name="TextBox 38">
          <a:extLst>
            <a:ext uri="{FF2B5EF4-FFF2-40B4-BE49-F238E27FC236}">
              <a16:creationId xmlns:a16="http://schemas.microsoft.com/office/drawing/2014/main" id="{00000000-0008-0000-0100-000027000000}"/>
            </a:ext>
          </a:extLst>
        </xdr:cNvPr>
        <xdr:cNvSpPr txBox="1"/>
      </xdr:nvSpPr>
      <xdr:spPr>
        <a:xfrm>
          <a:off x="3717866" y="6480181"/>
          <a:ext cx="763438" cy="2226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Stone Storage</a:t>
          </a:r>
        </a:p>
      </xdr:txBody>
    </xdr:sp>
    <xdr:clientData/>
  </xdr:twoCellAnchor>
  <xdr:twoCellAnchor>
    <xdr:from>
      <xdr:col>10</xdr:col>
      <xdr:colOff>146051</xdr:colOff>
      <xdr:row>36</xdr:row>
      <xdr:rowOff>58741</xdr:rowOff>
    </xdr:from>
    <xdr:to>
      <xdr:col>15</xdr:col>
      <xdr:colOff>56369</xdr:colOff>
      <xdr:row>38</xdr:row>
      <xdr:rowOff>40176</xdr:rowOff>
    </xdr:to>
    <xdr:sp macro="" textlink="">
      <xdr:nvSpPr>
        <xdr:cNvPr id="40" name="TextBox 39">
          <a:extLst>
            <a:ext uri="{FF2B5EF4-FFF2-40B4-BE49-F238E27FC236}">
              <a16:creationId xmlns:a16="http://schemas.microsoft.com/office/drawing/2014/main" id="{00000000-0008-0000-0100-000028000000}"/>
            </a:ext>
          </a:extLst>
        </xdr:cNvPr>
        <xdr:cNvSpPr txBox="1"/>
      </xdr:nvSpPr>
      <xdr:spPr>
        <a:xfrm>
          <a:off x="2060576" y="6478591"/>
          <a:ext cx="1024743" cy="219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System Footprint</a:t>
          </a:r>
        </a:p>
      </xdr:txBody>
    </xdr:sp>
    <xdr:clientData/>
  </xdr:twoCellAnchor>
  <xdr:twoCellAnchor>
    <xdr:from>
      <xdr:col>17</xdr:col>
      <xdr:colOff>177777</xdr:colOff>
      <xdr:row>40</xdr:row>
      <xdr:rowOff>58237</xdr:rowOff>
    </xdr:from>
    <xdr:to>
      <xdr:col>22</xdr:col>
      <xdr:colOff>53953</xdr:colOff>
      <xdr:row>41</xdr:row>
      <xdr:rowOff>47436</xdr:rowOff>
    </xdr:to>
    <xdr:sp macro="" textlink="">
      <xdr:nvSpPr>
        <xdr:cNvPr id="41" name="TextBox 40">
          <a:extLst>
            <a:ext uri="{FF2B5EF4-FFF2-40B4-BE49-F238E27FC236}">
              <a16:creationId xmlns:a16="http://schemas.microsoft.com/office/drawing/2014/main" id="{00000000-0008-0000-0100-000029000000}"/>
            </a:ext>
          </a:extLst>
        </xdr:cNvPr>
        <xdr:cNvSpPr txBox="1"/>
      </xdr:nvSpPr>
      <xdr:spPr>
        <a:xfrm>
          <a:off x="4266723" y="7603398"/>
          <a:ext cx="1155248" cy="2001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Required Stone</a:t>
          </a:r>
        </a:p>
        <a:p>
          <a:pPr algn="ctr"/>
          <a:r>
            <a:rPr lang="en-US" sz="600">
              <a:latin typeface="Arial" panose="020B0604020202020204" pitchFamily="34" charset="0"/>
              <a:cs typeface="Arial" panose="020B0604020202020204" pitchFamily="34" charset="0"/>
            </a:rPr>
            <a:t>(For Embedment Backfill)</a:t>
          </a:r>
        </a:p>
      </xdr:txBody>
    </xdr:sp>
    <xdr:clientData/>
  </xdr:twoCellAnchor>
  <xdr:twoCellAnchor>
    <xdr:from>
      <xdr:col>4</xdr:col>
      <xdr:colOff>108139</xdr:colOff>
      <xdr:row>29</xdr:row>
      <xdr:rowOff>31460</xdr:rowOff>
    </xdr:from>
    <xdr:to>
      <xdr:col>14</xdr:col>
      <xdr:colOff>49419</xdr:colOff>
      <xdr:row>30</xdr:row>
      <xdr:rowOff>47922</xdr:rowOff>
    </xdr:to>
    <xdr:sp macro="" textlink="">
      <xdr:nvSpPr>
        <xdr:cNvPr id="42" name="TextBox 41">
          <a:extLst>
            <a:ext uri="{FF2B5EF4-FFF2-40B4-BE49-F238E27FC236}">
              <a16:creationId xmlns:a16="http://schemas.microsoft.com/office/drawing/2014/main" id="{00000000-0008-0000-0100-00002A000000}"/>
            </a:ext>
          </a:extLst>
        </xdr:cNvPr>
        <xdr:cNvSpPr txBox="1"/>
      </xdr:nvSpPr>
      <xdr:spPr>
        <a:xfrm>
          <a:off x="795596" y="5862417"/>
          <a:ext cx="2119606" cy="1324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b="1">
              <a:solidFill>
                <a:schemeClr val="accent1">
                  <a:lumMod val="75000"/>
                </a:schemeClr>
              </a:solidFill>
              <a:latin typeface="Arial" panose="020B0604020202020204" pitchFamily="34" charset="0"/>
              <a:cs typeface="Arial" panose="020B0604020202020204" pitchFamily="34" charset="0"/>
            </a:rPr>
            <a:t>NOTES ON</a:t>
          </a:r>
          <a:r>
            <a:rPr lang="en-US" sz="800" b="1" baseline="0">
              <a:solidFill>
                <a:schemeClr val="accent1">
                  <a:lumMod val="75000"/>
                </a:schemeClr>
              </a:solidFill>
              <a:latin typeface="Arial" panose="020B0604020202020204" pitchFamily="34" charset="0"/>
              <a:cs typeface="Arial" panose="020B0604020202020204" pitchFamily="34" charset="0"/>
            </a:rPr>
            <a:t> COVER ABOVE CHAMBER</a:t>
          </a:r>
          <a:r>
            <a:rPr lang="en-US" sz="800">
              <a:solidFill>
                <a:schemeClr val="accent1">
                  <a:lumMod val="50000"/>
                </a:schemeClr>
              </a:solidFill>
              <a:latin typeface="Arial" panose="020B0604020202020204" pitchFamily="34" charset="0"/>
              <a:cs typeface="Arial" panose="020B0604020202020204" pitchFamily="34" charset="0"/>
            </a:rPr>
            <a:t>:</a:t>
          </a:r>
        </a:p>
      </xdr:txBody>
    </xdr:sp>
    <xdr:clientData/>
  </xdr:twoCellAnchor>
  <xdr:twoCellAnchor>
    <xdr:from>
      <xdr:col>23</xdr:col>
      <xdr:colOff>127000</xdr:colOff>
      <xdr:row>13</xdr:row>
      <xdr:rowOff>45601</xdr:rowOff>
    </xdr:from>
    <xdr:to>
      <xdr:col>27</xdr:col>
      <xdr:colOff>163209</xdr:colOff>
      <xdr:row>15</xdr:row>
      <xdr:rowOff>45601</xdr:rowOff>
    </xdr:to>
    <xdr:sp macro="" textlink="">
      <xdr:nvSpPr>
        <xdr:cNvPr id="43" name="TextBox 42">
          <a:extLst>
            <a:ext uri="{FF2B5EF4-FFF2-40B4-BE49-F238E27FC236}">
              <a16:creationId xmlns:a16="http://schemas.microsoft.com/office/drawing/2014/main" id="{00000000-0008-0000-0100-00002B000000}"/>
            </a:ext>
          </a:extLst>
        </xdr:cNvPr>
        <xdr:cNvSpPr txBox="1"/>
      </xdr:nvSpPr>
      <xdr:spPr>
        <a:xfrm>
          <a:off x="4832350" y="2379226"/>
          <a:ext cx="874409" cy="3429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Additional Stone Side of Chamber*</a:t>
          </a:r>
        </a:p>
      </xdr:txBody>
    </xdr:sp>
    <xdr:clientData/>
  </xdr:twoCellAnchor>
  <xdr:twoCellAnchor>
    <xdr:from>
      <xdr:col>9</xdr:col>
      <xdr:colOff>96692</xdr:colOff>
      <xdr:row>14</xdr:row>
      <xdr:rowOff>200026</xdr:rowOff>
    </xdr:from>
    <xdr:to>
      <xdr:col>21</xdr:col>
      <xdr:colOff>152275</xdr:colOff>
      <xdr:row>16</xdr:row>
      <xdr:rowOff>73747</xdr:rowOff>
    </xdr:to>
    <xdr:sp macro="" textlink="">
      <xdr:nvSpPr>
        <xdr:cNvPr id="44" name="TextBox 43">
          <a:extLst>
            <a:ext uri="{FF2B5EF4-FFF2-40B4-BE49-F238E27FC236}">
              <a16:creationId xmlns:a16="http://schemas.microsoft.com/office/drawing/2014/main" id="{00000000-0008-0000-0100-00002C000000}"/>
            </a:ext>
          </a:extLst>
        </xdr:cNvPr>
        <xdr:cNvSpPr txBox="1"/>
      </xdr:nvSpPr>
      <xdr:spPr>
        <a:xfrm>
          <a:off x="1830242" y="2952751"/>
          <a:ext cx="3236933" cy="340446"/>
        </a:xfrm>
        <a:prstGeom prst="rect">
          <a:avLst/>
        </a:prstGeom>
        <a:solidFill>
          <a:schemeClr val="lt1">
            <a:alpha val="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700" baseline="0">
              <a:solidFill>
                <a:schemeClr val="dk1"/>
              </a:solidFill>
              <a:latin typeface="Arial"/>
              <a:cs typeface="Arial"/>
            </a:rPr>
            <a:t>* Minimum recommended values are already included in calculations</a:t>
          </a:r>
          <a:endParaRPr lang="en-US" sz="700">
            <a:solidFill>
              <a:schemeClr val="dk1"/>
            </a:solidFill>
            <a:latin typeface="Arial"/>
            <a:cs typeface="Arial"/>
          </a:endParaRPr>
        </a:p>
      </xdr:txBody>
    </xdr:sp>
    <xdr:clientData/>
  </xdr:twoCellAnchor>
  <xdr:twoCellAnchor>
    <xdr:from>
      <xdr:col>44</xdr:col>
      <xdr:colOff>198045</xdr:colOff>
      <xdr:row>20</xdr:row>
      <xdr:rowOff>221717</xdr:rowOff>
    </xdr:from>
    <xdr:to>
      <xdr:col>51</xdr:col>
      <xdr:colOff>37932</xdr:colOff>
      <xdr:row>22</xdr:row>
      <xdr:rowOff>55576</xdr:rowOff>
    </xdr:to>
    <xdr:sp macro="" textlink="">
      <xdr:nvSpPr>
        <xdr:cNvPr id="45" name="TextBox 44">
          <a:extLst>
            <a:ext uri="{FF2B5EF4-FFF2-40B4-BE49-F238E27FC236}">
              <a16:creationId xmlns:a16="http://schemas.microsoft.com/office/drawing/2014/main" id="{00000000-0008-0000-0100-00002D000000}"/>
            </a:ext>
          </a:extLst>
        </xdr:cNvPr>
        <xdr:cNvSpPr txBox="1"/>
      </xdr:nvSpPr>
      <xdr:spPr>
        <a:xfrm>
          <a:off x="9322995" y="3631667"/>
          <a:ext cx="1068612" cy="310109"/>
        </a:xfrm>
        <a:prstGeom prst="rect">
          <a:avLst/>
        </a:prstGeom>
        <a:solidFill>
          <a:schemeClr val="lt1">
            <a:alpha val="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ctr"/>
        <a:lstStyle/>
        <a:p>
          <a:pPr algn="ctr"/>
          <a:r>
            <a:rPr lang="en-US" sz="500" baseline="0">
              <a:solidFill>
                <a:schemeClr val="dk1"/>
              </a:solidFill>
              <a:latin typeface="Arial"/>
              <a:cs typeface="Arial"/>
            </a:rPr>
            <a:t>System details do not depict actual number of rows, chamber, manifolds or cleanouts. </a:t>
          </a:r>
          <a:endParaRPr lang="en-US" sz="500">
            <a:solidFill>
              <a:schemeClr val="dk1"/>
            </a:solidFill>
            <a:latin typeface="Arial"/>
            <a:cs typeface="Arial"/>
          </a:endParaRPr>
        </a:p>
      </xdr:txBody>
    </xdr:sp>
    <xdr:clientData/>
  </xdr:twoCellAnchor>
  <xdr:twoCellAnchor>
    <xdr:from>
      <xdr:col>24</xdr:col>
      <xdr:colOff>35731</xdr:colOff>
      <xdr:row>40</xdr:row>
      <xdr:rowOff>58237</xdr:rowOff>
    </xdr:from>
    <xdr:to>
      <xdr:col>29</xdr:col>
      <xdr:colOff>225195</xdr:colOff>
      <xdr:row>41</xdr:row>
      <xdr:rowOff>43403</xdr:rowOff>
    </xdr:to>
    <xdr:sp macro="" textlink="">
      <xdr:nvSpPr>
        <xdr:cNvPr id="46" name="TextBox 45">
          <a:extLst>
            <a:ext uri="{FF2B5EF4-FFF2-40B4-BE49-F238E27FC236}">
              <a16:creationId xmlns:a16="http://schemas.microsoft.com/office/drawing/2014/main" id="{00000000-0008-0000-0100-00002E000000}"/>
            </a:ext>
          </a:extLst>
        </xdr:cNvPr>
        <xdr:cNvSpPr txBox="1"/>
      </xdr:nvSpPr>
      <xdr:spPr>
        <a:xfrm>
          <a:off x="5866392" y="7603398"/>
          <a:ext cx="1346071" cy="1960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Non-Woven</a:t>
          </a:r>
          <a:r>
            <a:rPr lang="en-US" sz="800" baseline="0">
              <a:latin typeface="Arial" panose="020B0604020202020204" pitchFamily="34" charset="0"/>
              <a:cs typeface="Arial" panose="020B0604020202020204" pitchFamily="34" charset="0"/>
            </a:rPr>
            <a:t> Geotextile</a:t>
          </a:r>
        </a:p>
        <a:p>
          <a:pPr algn="ctr"/>
          <a:r>
            <a:rPr lang="en-US" sz="600" baseline="0">
              <a:latin typeface="Arial" panose="020B0604020202020204" pitchFamily="34" charset="0"/>
              <a:cs typeface="Arial" panose="020B0604020202020204" pitchFamily="34" charset="0"/>
            </a:rPr>
            <a:t>(Includes 20% Overlap)</a:t>
          </a:r>
          <a:endParaRPr lang="en-US" sz="600">
            <a:latin typeface="Arial" panose="020B0604020202020204" pitchFamily="34" charset="0"/>
            <a:cs typeface="Arial" panose="020B0604020202020204" pitchFamily="34" charset="0"/>
          </a:endParaRPr>
        </a:p>
      </xdr:txBody>
    </xdr:sp>
    <xdr:clientData/>
  </xdr:twoCellAnchor>
  <xdr:twoCellAnchor editAs="oneCell">
    <xdr:from>
      <xdr:col>5</xdr:col>
      <xdr:colOff>1726</xdr:colOff>
      <xdr:row>34</xdr:row>
      <xdr:rowOff>71460</xdr:rowOff>
    </xdr:from>
    <xdr:to>
      <xdr:col>55</xdr:col>
      <xdr:colOff>264907</xdr:colOff>
      <xdr:row>35</xdr:row>
      <xdr:rowOff>207421</xdr:rowOff>
    </xdr:to>
    <xdr:sp macro="" textlink="">
      <xdr:nvSpPr>
        <xdr:cNvPr id="48" name="TextBox 47">
          <a:extLst>
            <a:ext uri="{FF2B5EF4-FFF2-40B4-BE49-F238E27FC236}">
              <a16:creationId xmlns:a16="http://schemas.microsoft.com/office/drawing/2014/main" id="{00000000-0008-0000-0100-000030000000}"/>
            </a:ext>
          </a:extLst>
        </xdr:cNvPr>
        <xdr:cNvSpPr txBox="1"/>
      </xdr:nvSpPr>
      <xdr:spPr>
        <a:xfrm>
          <a:off x="864579" y="6481225"/>
          <a:ext cx="11529127" cy="208687"/>
        </a:xfrm>
        <a:prstGeom prst="rect">
          <a:avLst/>
        </a:prstGeom>
        <a:solidFill>
          <a:srgbClr val="4580DF"/>
        </a:solidFill>
        <a:ln w="9525" cmpd="sng">
          <a:solidFill>
            <a:schemeClr val="accent5"/>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solidFill>
                <a:sysClr val="windowText" lastClr="000000"/>
              </a:solidFill>
            </a:rPr>
            <a:t>SYSTEM STORAGE &amp; QUANTITIES</a:t>
          </a:r>
        </a:p>
      </xdr:txBody>
    </xdr:sp>
    <xdr:clientData/>
  </xdr:twoCellAnchor>
  <xdr:twoCellAnchor editAs="oneCell">
    <xdr:from>
      <xdr:col>5</xdr:col>
      <xdr:colOff>11547</xdr:colOff>
      <xdr:row>16</xdr:row>
      <xdr:rowOff>16845</xdr:rowOff>
    </xdr:from>
    <xdr:to>
      <xdr:col>56</xdr:col>
      <xdr:colOff>1681</xdr:colOff>
      <xdr:row>17</xdr:row>
      <xdr:rowOff>94130</xdr:rowOff>
    </xdr:to>
    <xdr:sp macro="" textlink="">
      <xdr:nvSpPr>
        <xdr:cNvPr id="49" name="TextBox 48">
          <a:extLst>
            <a:ext uri="{FF2B5EF4-FFF2-40B4-BE49-F238E27FC236}">
              <a16:creationId xmlns:a16="http://schemas.microsoft.com/office/drawing/2014/main" id="{00000000-0008-0000-0100-000031000000}"/>
            </a:ext>
          </a:extLst>
        </xdr:cNvPr>
        <xdr:cNvSpPr txBox="1"/>
      </xdr:nvSpPr>
      <xdr:spPr>
        <a:xfrm>
          <a:off x="874400" y="3076051"/>
          <a:ext cx="11541718" cy="196067"/>
        </a:xfrm>
        <a:prstGeom prst="rect">
          <a:avLst/>
        </a:prstGeom>
        <a:solidFill>
          <a:srgbClr val="4580DF"/>
        </a:solidFill>
        <a:ln w="9525" cmpd="sng">
          <a:solidFill>
            <a:schemeClr val="accent5"/>
          </a:solidFill>
        </a:ln>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US" sz="1100">
              <a:solidFill>
                <a:sysClr val="windowText" lastClr="000000"/>
              </a:solidFill>
            </a:rPr>
            <a:t>SYSTEM LAYOUT</a:t>
          </a:r>
        </a:p>
      </xdr:txBody>
    </xdr:sp>
    <xdr:clientData/>
  </xdr:twoCellAnchor>
  <xdr:twoCellAnchor>
    <xdr:from>
      <xdr:col>15</xdr:col>
      <xdr:colOff>136526</xdr:colOff>
      <xdr:row>11</xdr:row>
      <xdr:rowOff>68215</xdr:rowOff>
    </xdr:from>
    <xdr:to>
      <xdr:col>18</xdr:col>
      <xdr:colOff>104777</xdr:colOff>
      <xdr:row>13</xdr:row>
      <xdr:rowOff>47625</xdr:rowOff>
    </xdr:to>
    <xdr:sp macro="" textlink="">
      <xdr:nvSpPr>
        <xdr:cNvPr id="51" name="TextBox 50">
          <a:extLst>
            <a:ext uri="{FF2B5EF4-FFF2-40B4-BE49-F238E27FC236}">
              <a16:creationId xmlns:a16="http://schemas.microsoft.com/office/drawing/2014/main" id="{00000000-0008-0000-0100-000033000000}"/>
            </a:ext>
          </a:extLst>
        </xdr:cNvPr>
        <xdr:cNvSpPr txBox="1"/>
      </xdr:nvSpPr>
      <xdr:spPr>
        <a:xfrm>
          <a:off x="3165476" y="2058940"/>
          <a:ext cx="596901" cy="3223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Chambers Per Row</a:t>
          </a:r>
        </a:p>
      </xdr:txBody>
    </xdr:sp>
    <xdr:clientData/>
  </xdr:twoCellAnchor>
  <xdr:twoCellAnchor>
    <xdr:from>
      <xdr:col>31</xdr:col>
      <xdr:colOff>137161</xdr:colOff>
      <xdr:row>13</xdr:row>
      <xdr:rowOff>39251</xdr:rowOff>
    </xdr:from>
    <xdr:to>
      <xdr:col>36</xdr:col>
      <xdr:colOff>93359</xdr:colOff>
      <xdr:row>15</xdr:row>
      <xdr:rowOff>85724</xdr:rowOff>
    </xdr:to>
    <xdr:sp macro="" textlink="">
      <xdr:nvSpPr>
        <xdr:cNvPr id="52" name="TextBox 51">
          <a:extLst>
            <a:ext uri="{FF2B5EF4-FFF2-40B4-BE49-F238E27FC236}">
              <a16:creationId xmlns:a16="http://schemas.microsoft.com/office/drawing/2014/main" id="{00000000-0008-0000-0100-000034000000}"/>
            </a:ext>
          </a:extLst>
        </xdr:cNvPr>
        <xdr:cNvSpPr txBox="1"/>
      </xdr:nvSpPr>
      <xdr:spPr>
        <a:xfrm>
          <a:off x="7242811" y="2677676"/>
          <a:ext cx="1051573" cy="3893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Additional Stone Between</a:t>
          </a:r>
          <a:r>
            <a:rPr lang="en-US" sz="800" baseline="0">
              <a:latin typeface="Arial" panose="020B0604020202020204" pitchFamily="34" charset="0"/>
              <a:cs typeface="Arial" panose="020B0604020202020204" pitchFamily="34" charset="0"/>
            </a:rPr>
            <a:t> </a:t>
          </a:r>
          <a:r>
            <a:rPr lang="en-US" sz="800">
              <a:latin typeface="Arial" panose="020B0604020202020204" pitchFamily="34" charset="0"/>
              <a:cs typeface="Arial" panose="020B0604020202020204" pitchFamily="34" charset="0"/>
            </a:rPr>
            <a:t>Chamber Rows*</a:t>
          </a:r>
        </a:p>
      </xdr:txBody>
    </xdr:sp>
    <xdr:clientData/>
  </xdr:twoCellAnchor>
  <xdr:twoCellAnchor>
    <xdr:from>
      <xdr:col>31</xdr:col>
      <xdr:colOff>22860</xdr:colOff>
      <xdr:row>11</xdr:row>
      <xdr:rowOff>72329</xdr:rowOff>
    </xdr:from>
    <xdr:to>
      <xdr:col>36</xdr:col>
      <xdr:colOff>148504</xdr:colOff>
      <xdr:row>13</xdr:row>
      <xdr:rowOff>10795</xdr:rowOff>
    </xdr:to>
    <xdr:sp macro="" textlink="">
      <xdr:nvSpPr>
        <xdr:cNvPr id="53" name="TextBox 52">
          <a:extLst>
            <a:ext uri="{FF2B5EF4-FFF2-40B4-BE49-F238E27FC236}">
              <a16:creationId xmlns:a16="http://schemas.microsoft.com/office/drawing/2014/main" id="{00000000-0008-0000-0100-000035000000}"/>
            </a:ext>
          </a:extLst>
        </xdr:cNvPr>
        <xdr:cNvSpPr txBox="1"/>
      </xdr:nvSpPr>
      <xdr:spPr>
        <a:xfrm>
          <a:off x="6404610" y="2063054"/>
          <a:ext cx="1173394" cy="2813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ctr"/>
        <a:lstStyle/>
        <a:p>
          <a:pPr algn="r"/>
          <a:r>
            <a:rPr lang="en-US" sz="800">
              <a:latin typeface="Arial" panose="020B0604020202020204" pitchFamily="34" charset="0"/>
              <a:cs typeface="Arial" panose="020B0604020202020204" pitchFamily="34" charset="0"/>
            </a:rPr>
            <a:t>Bottom</a:t>
          </a:r>
          <a:r>
            <a:rPr lang="en-US" sz="800" baseline="0">
              <a:latin typeface="Arial" panose="020B0604020202020204" pitchFamily="34" charset="0"/>
              <a:cs typeface="Arial" panose="020B0604020202020204" pitchFamily="34" charset="0"/>
            </a:rPr>
            <a:t> of Bedding Elevation</a:t>
          </a:r>
          <a:endParaRPr lang="en-US" sz="800">
            <a:latin typeface="Arial" panose="020B0604020202020204" pitchFamily="34" charset="0"/>
            <a:cs typeface="Arial" panose="020B0604020202020204" pitchFamily="34" charset="0"/>
          </a:endParaRPr>
        </a:p>
      </xdr:txBody>
    </xdr:sp>
    <xdr:clientData/>
  </xdr:twoCellAnchor>
  <xdr:twoCellAnchor>
    <xdr:from>
      <xdr:col>6</xdr:col>
      <xdr:colOff>58742</xdr:colOff>
      <xdr:row>40</xdr:row>
      <xdr:rowOff>75875</xdr:rowOff>
    </xdr:from>
    <xdr:to>
      <xdr:col>11</xdr:col>
      <xdr:colOff>39227</xdr:colOff>
      <xdr:row>42</xdr:row>
      <xdr:rowOff>38728</xdr:rowOff>
    </xdr:to>
    <xdr:sp macro="" textlink="">
      <xdr:nvSpPr>
        <xdr:cNvPr id="54" name="TextBox 53">
          <a:extLst>
            <a:ext uri="{FF2B5EF4-FFF2-40B4-BE49-F238E27FC236}">
              <a16:creationId xmlns:a16="http://schemas.microsoft.com/office/drawing/2014/main" id="{00000000-0008-0000-0100-000036000000}"/>
            </a:ext>
          </a:extLst>
        </xdr:cNvPr>
        <xdr:cNvSpPr txBox="1"/>
      </xdr:nvSpPr>
      <xdr:spPr>
        <a:xfrm>
          <a:off x="1192217" y="7619675"/>
          <a:ext cx="1304460" cy="286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Number of Chambers</a:t>
          </a:r>
        </a:p>
      </xdr:txBody>
    </xdr:sp>
    <xdr:clientData/>
  </xdr:twoCellAnchor>
  <xdr:twoCellAnchor>
    <xdr:from>
      <xdr:col>12</xdr:col>
      <xdr:colOff>101070</xdr:colOff>
      <xdr:row>40</xdr:row>
      <xdr:rowOff>97148</xdr:rowOff>
    </xdr:from>
    <xdr:to>
      <xdr:col>17</xdr:col>
      <xdr:colOff>78524</xdr:colOff>
      <xdr:row>42</xdr:row>
      <xdr:rowOff>38728</xdr:rowOff>
    </xdr:to>
    <xdr:sp macro="" textlink="">
      <xdr:nvSpPr>
        <xdr:cNvPr id="55" name="TextBox 54">
          <a:extLst>
            <a:ext uri="{FF2B5EF4-FFF2-40B4-BE49-F238E27FC236}">
              <a16:creationId xmlns:a16="http://schemas.microsoft.com/office/drawing/2014/main" id="{00000000-0008-0000-0100-000037000000}"/>
            </a:ext>
          </a:extLst>
        </xdr:cNvPr>
        <xdr:cNvSpPr txBox="1"/>
      </xdr:nvSpPr>
      <xdr:spPr>
        <a:xfrm>
          <a:off x="2787120" y="7640948"/>
          <a:ext cx="1368104" cy="2654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Number of End Caps</a:t>
          </a:r>
        </a:p>
      </xdr:txBody>
    </xdr:sp>
    <xdr:clientData/>
  </xdr:twoCellAnchor>
  <xdr:twoCellAnchor>
    <xdr:from>
      <xdr:col>25</xdr:col>
      <xdr:colOff>158751</xdr:colOff>
      <xdr:row>36</xdr:row>
      <xdr:rowOff>57156</xdr:rowOff>
    </xdr:from>
    <xdr:to>
      <xdr:col>30</xdr:col>
      <xdr:colOff>44561</xdr:colOff>
      <xdr:row>38</xdr:row>
      <xdr:rowOff>41695</xdr:rowOff>
    </xdr:to>
    <xdr:sp macro="" textlink="">
      <xdr:nvSpPr>
        <xdr:cNvPr id="57" name="TextBox 56">
          <a:extLst>
            <a:ext uri="{FF2B5EF4-FFF2-40B4-BE49-F238E27FC236}">
              <a16:creationId xmlns:a16="http://schemas.microsoft.com/office/drawing/2014/main" id="{00000000-0008-0000-0100-000039000000}"/>
            </a:ext>
          </a:extLst>
        </xdr:cNvPr>
        <xdr:cNvSpPr txBox="1"/>
      </xdr:nvSpPr>
      <xdr:spPr>
        <a:xfrm>
          <a:off x="5283201" y="6477006"/>
          <a:ext cx="933560" cy="2226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Manifold Storage</a:t>
          </a:r>
        </a:p>
      </xdr:txBody>
    </xdr:sp>
    <xdr:clientData/>
  </xdr:twoCellAnchor>
  <xdr:twoCellAnchor>
    <xdr:from>
      <xdr:col>41</xdr:col>
      <xdr:colOff>134938</xdr:colOff>
      <xdr:row>14</xdr:row>
      <xdr:rowOff>7938</xdr:rowOff>
    </xdr:from>
    <xdr:to>
      <xdr:col>47</xdr:col>
      <xdr:colOff>106651</xdr:colOff>
      <xdr:row>15</xdr:row>
      <xdr:rowOff>37668</xdr:rowOff>
    </xdr:to>
    <xdr:sp macro="" textlink="">
      <xdr:nvSpPr>
        <xdr:cNvPr id="60" name="TextBox 59">
          <a:extLst>
            <a:ext uri="{FF2B5EF4-FFF2-40B4-BE49-F238E27FC236}">
              <a16:creationId xmlns:a16="http://schemas.microsoft.com/office/drawing/2014/main" id="{00000000-0008-0000-0100-00003C000000}"/>
            </a:ext>
          </a:extLst>
        </xdr:cNvPr>
        <xdr:cNvSpPr txBox="1"/>
      </xdr:nvSpPr>
      <xdr:spPr>
        <a:xfrm>
          <a:off x="8631238" y="2455863"/>
          <a:ext cx="1219488" cy="2583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Units:</a:t>
          </a:r>
          <a:r>
            <a:rPr lang="en-US" sz="800" baseline="0">
              <a:latin typeface="Arial" panose="020B0604020202020204" pitchFamily="34" charset="0"/>
              <a:cs typeface="Arial" panose="020B0604020202020204" pitchFamily="34" charset="0"/>
            </a:rPr>
            <a:t> Metric or Standard</a:t>
          </a:r>
        </a:p>
      </xdr:txBody>
    </xdr:sp>
    <xdr:clientData/>
  </xdr:twoCellAnchor>
  <mc:AlternateContent xmlns:mc="http://schemas.openxmlformats.org/markup-compatibility/2006">
    <mc:Choice xmlns:a14="http://schemas.microsoft.com/office/drawing/2010/main" Requires="a14">
      <xdr:twoCellAnchor editAs="oneCell">
        <xdr:from>
          <xdr:col>48</xdr:col>
          <xdr:colOff>19050</xdr:colOff>
          <xdr:row>14</xdr:row>
          <xdr:rowOff>0</xdr:rowOff>
        </xdr:from>
        <xdr:to>
          <xdr:col>53</xdr:col>
          <xdr:colOff>95250</xdr:colOff>
          <xdr:row>15</xdr:row>
          <xdr:rowOff>0</xdr:rowOff>
        </xdr:to>
        <xdr:sp macro="" textlink="">
          <xdr:nvSpPr>
            <xdr:cNvPr id="2054" name="Drop Down 6" hidden="1">
              <a:extLst>
                <a:ext uri="{63B3BB69-23CF-44E3-9099-C40C66FF867C}">
                  <a14:compatExt spid="_x0000_s2054"/>
                </a:ext>
                <a:ext uri="{FF2B5EF4-FFF2-40B4-BE49-F238E27FC236}">
                  <a16:creationId xmlns:a16="http://schemas.microsoft.com/office/drawing/2014/main" id="{00000000-0008-0000-0100-000006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13</xdr:col>
      <xdr:colOff>273050</xdr:colOff>
      <xdr:row>29</xdr:row>
      <xdr:rowOff>95251</xdr:rowOff>
    </xdr:from>
    <xdr:to>
      <xdr:col>27</xdr:col>
      <xdr:colOff>130176</xdr:colOff>
      <xdr:row>31</xdr:row>
      <xdr:rowOff>47625</xdr:rowOff>
    </xdr:to>
    <xdr:sp macro="" textlink="">
      <xdr:nvSpPr>
        <xdr:cNvPr id="62" name="TextBox 61" hidden="1">
          <a:extLst>
            <a:ext uri="{FF2B5EF4-FFF2-40B4-BE49-F238E27FC236}">
              <a16:creationId xmlns:a16="http://schemas.microsoft.com/office/drawing/2014/main" id="{00000000-0008-0000-0100-00003E000000}"/>
            </a:ext>
          </a:extLst>
        </xdr:cNvPr>
        <xdr:cNvSpPr txBox="1"/>
      </xdr:nvSpPr>
      <xdr:spPr>
        <a:xfrm>
          <a:off x="2816225" y="5553076"/>
          <a:ext cx="2857501" cy="2762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a:solidFill>
                <a:srgbClr val="FF0000"/>
              </a:solidFill>
            </a:rPr>
            <a:t>WARNING:</a:t>
          </a:r>
          <a:r>
            <a:rPr lang="en-US" sz="1000" baseline="0">
              <a:solidFill>
                <a:srgbClr val="FF0000"/>
              </a:solidFill>
            </a:rPr>
            <a:t> </a:t>
          </a:r>
          <a:r>
            <a:rPr lang="en-US" sz="1000">
              <a:solidFill>
                <a:srgbClr val="FF0000"/>
              </a:solidFill>
            </a:rPr>
            <a:t>Burial Depth Too Shallow</a:t>
          </a:r>
        </a:p>
      </xdr:txBody>
    </xdr:sp>
    <xdr:clientData/>
  </xdr:twoCellAnchor>
  <xdr:twoCellAnchor>
    <xdr:from>
      <xdr:col>13</xdr:col>
      <xdr:colOff>274637</xdr:colOff>
      <xdr:row>31</xdr:row>
      <xdr:rowOff>17463</xdr:rowOff>
    </xdr:from>
    <xdr:to>
      <xdr:col>27</xdr:col>
      <xdr:colOff>131763</xdr:colOff>
      <xdr:row>33</xdr:row>
      <xdr:rowOff>41275</xdr:rowOff>
    </xdr:to>
    <xdr:sp macro="" textlink="">
      <xdr:nvSpPr>
        <xdr:cNvPr id="63" name="TextBox 62" hidden="1">
          <a:extLst>
            <a:ext uri="{FF2B5EF4-FFF2-40B4-BE49-F238E27FC236}">
              <a16:creationId xmlns:a16="http://schemas.microsoft.com/office/drawing/2014/main" id="{00000000-0008-0000-0100-00003F000000}"/>
            </a:ext>
          </a:extLst>
        </xdr:cNvPr>
        <xdr:cNvSpPr txBox="1"/>
      </xdr:nvSpPr>
      <xdr:spPr>
        <a:xfrm>
          <a:off x="2817812" y="5799138"/>
          <a:ext cx="2857501" cy="27146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000">
              <a:solidFill>
                <a:srgbClr val="FF0000"/>
              </a:solidFill>
            </a:rPr>
            <a:t>WARNING:</a:t>
          </a:r>
          <a:r>
            <a:rPr lang="en-US" sz="1000" baseline="0">
              <a:solidFill>
                <a:srgbClr val="FF0000"/>
              </a:solidFill>
            </a:rPr>
            <a:t> </a:t>
          </a:r>
          <a:r>
            <a:rPr lang="en-US" sz="1000">
              <a:solidFill>
                <a:srgbClr val="FF0000"/>
              </a:solidFill>
            </a:rPr>
            <a:t>Burial Depth Exceeds Recommendation</a:t>
          </a:r>
        </a:p>
      </xdr:txBody>
    </xdr:sp>
    <xdr:clientData/>
  </xdr:twoCellAnchor>
  <xdr:twoCellAnchor editAs="oneCell">
    <xdr:from>
      <xdr:col>5</xdr:col>
      <xdr:colOff>85725</xdr:colOff>
      <xdr:row>2</xdr:row>
      <xdr:rowOff>47625</xdr:rowOff>
    </xdr:from>
    <xdr:to>
      <xdr:col>14</xdr:col>
      <xdr:colOff>248313</xdr:colOff>
      <xdr:row>2</xdr:row>
      <xdr:rowOff>720219</xdr:rowOff>
    </xdr:to>
    <xdr:pic>
      <xdr:nvPicPr>
        <xdr:cNvPr id="65" name="Picture 64">
          <a:extLst>
            <a:ext uri="{FF2B5EF4-FFF2-40B4-BE49-F238E27FC236}">
              <a16:creationId xmlns:a16="http://schemas.microsoft.com/office/drawing/2014/main" id="{00000000-0008-0000-0100-000041000000}"/>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t="16326" b="13215"/>
        <a:stretch/>
      </xdr:blipFill>
      <xdr:spPr>
        <a:xfrm>
          <a:off x="933450" y="190500"/>
          <a:ext cx="2369820" cy="663069"/>
        </a:xfrm>
        <a:prstGeom prst="rect">
          <a:avLst/>
        </a:prstGeom>
      </xdr:spPr>
    </xdr:pic>
    <xdr:clientData/>
  </xdr:twoCellAnchor>
  <xdr:twoCellAnchor editAs="oneCell">
    <xdr:from>
      <xdr:col>45</xdr:col>
      <xdr:colOff>24490</xdr:colOff>
      <xdr:row>2</xdr:row>
      <xdr:rowOff>225879</xdr:rowOff>
    </xdr:from>
    <xdr:to>
      <xdr:col>55</xdr:col>
      <xdr:colOff>231566</xdr:colOff>
      <xdr:row>2</xdr:row>
      <xdr:rowOff>567970</xdr:rowOff>
    </xdr:to>
    <xdr:pic>
      <xdr:nvPicPr>
        <xdr:cNvPr id="66" name="Picture 65">
          <a:extLst>
            <a:ext uri="{FF2B5EF4-FFF2-40B4-BE49-F238E27FC236}">
              <a16:creationId xmlns:a16="http://schemas.microsoft.com/office/drawing/2014/main" id="{00000000-0008-0000-0100-000042000000}"/>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t="15639" b="24932"/>
        <a:stretch/>
      </xdr:blipFill>
      <xdr:spPr>
        <a:xfrm>
          <a:off x="9911440" y="368754"/>
          <a:ext cx="1927291" cy="332566"/>
        </a:xfrm>
        <a:prstGeom prst="rect">
          <a:avLst/>
        </a:prstGeom>
      </xdr:spPr>
    </xdr:pic>
    <xdr:clientData/>
  </xdr:twoCellAnchor>
  <xdr:twoCellAnchor>
    <xdr:from>
      <xdr:col>27</xdr:col>
      <xdr:colOff>170207</xdr:colOff>
      <xdr:row>20</xdr:row>
      <xdr:rowOff>18688</xdr:rowOff>
    </xdr:from>
    <xdr:to>
      <xdr:col>30</xdr:col>
      <xdr:colOff>156388</xdr:colOff>
      <xdr:row>20</xdr:row>
      <xdr:rowOff>228273</xdr:rowOff>
    </xdr:to>
    <xdr:sp macro="" textlink="">
      <xdr:nvSpPr>
        <xdr:cNvPr id="59" name="TextBox 58">
          <a:extLst>
            <a:ext uri="{FF2B5EF4-FFF2-40B4-BE49-F238E27FC236}">
              <a16:creationId xmlns:a16="http://schemas.microsoft.com/office/drawing/2014/main" id="{00000000-0008-0000-0100-00003B000000}"/>
            </a:ext>
          </a:extLst>
        </xdr:cNvPr>
        <xdr:cNvSpPr txBox="1"/>
      </xdr:nvSpPr>
      <xdr:spPr>
        <a:xfrm>
          <a:off x="6399557" y="3781063"/>
          <a:ext cx="643406" cy="209585"/>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700">
              <a:latin typeface="Arial" panose="020B0604020202020204" pitchFamily="34" charset="0"/>
              <a:cs typeface="Arial" panose="020B0604020202020204" pitchFamily="34" charset="0"/>
            </a:rPr>
            <a:t>System Design Depth</a:t>
          </a:r>
        </a:p>
      </xdr:txBody>
    </xdr:sp>
    <xdr:clientData/>
  </xdr:twoCellAnchor>
  <mc:AlternateContent xmlns:mc="http://schemas.openxmlformats.org/markup-compatibility/2006">
    <mc:Choice xmlns:a14="http://schemas.microsoft.com/office/drawing/2010/main" Requires="a14">
      <xdr:twoCellAnchor editAs="oneCell">
        <xdr:from>
          <xdr:col>38</xdr:col>
          <xdr:colOff>95250</xdr:colOff>
          <xdr:row>9</xdr:row>
          <xdr:rowOff>95250</xdr:rowOff>
        </xdr:from>
        <xdr:to>
          <xdr:col>43</xdr:col>
          <xdr:colOff>76200</xdr:colOff>
          <xdr:row>11</xdr:row>
          <xdr:rowOff>0</xdr:rowOff>
        </xdr:to>
        <xdr:sp macro="" textlink="">
          <xdr:nvSpPr>
            <xdr:cNvPr id="15033" name="Drop Down 2745" hidden="1">
              <a:extLst>
                <a:ext uri="{63B3BB69-23CF-44E3-9099-C40C66FF867C}">
                  <a14:compatExt spid="_x0000_s15033"/>
                </a:ext>
                <a:ext uri="{FF2B5EF4-FFF2-40B4-BE49-F238E27FC236}">
                  <a16:creationId xmlns:a16="http://schemas.microsoft.com/office/drawing/2014/main" id="{00000000-0008-0000-0100-0000B93A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34</xdr:col>
      <xdr:colOff>176155</xdr:colOff>
      <xdr:row>26</xdr:row>
      <xdr:rowOff>112650</xdr:rowOff>
    </xdr:from>
    <xdr:to>
      <xdr:col>37</xdr:col>
      <xdr:colOff>104385</xdr:colOff>
      <xdr:row>27</xdr:row>
      <xdr:rowOff>139786</xdr:rowOff>
    </xdr:to>
    <xdr:sp macro="" textlink="'LB Calcs'!J12">
      <xdr:nvSpPr>
        <xdr:cNvPr id="19" name="Rectangle 18">
          <a:extLst>
            <a:ext uri="{FF2B5EF4-FFF2-40B4-BE49-F238E27FC236}">
              <a16:creationId xmlns:a16="http://schemas.microsoft.com/office/drawing/2014/main" id="{00000000-0008-0000-0100-000013000000}"/>
            </a:ext>
          </a:extLst>
        </xdr:cNvPr>
        <xdr:cNvSpPr/>
      </xdr:nvSpPr>
      <xdr:spPr>
        <a:xfrm rot="21420000">
          <a:off x="7939030" y="5256150"/>
          <a:ext cx="594980" cy="255736"/>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marL="0" indent="0"/>
          <a:fld id="{EDDC1626-7663-4E15-BF7A-E33E901ED9B7}" type="TxLink">
            <a:rPr lang="en-US" sz="800" b="0" i="0" u="none" strike="noStrike">
              <a:solidFill>
                <a:srgbClr val="000000"/>
              </a:solidFill>
              <a:latin typeface="Arial"/>
              <a:ea typeface="+mn-ea"/>
              <a:cs typeface="Arial"/>
            </a:rPr>
            <a:pPr marL="0" indent="0"/>
            <a:t>85.9 ft</a:t>
          </a:fld>
          <a:endParaRPr lang="en-US" sz="600" b="0" i="0" u="none" strike="noStrike">
            <a:solidFill>
              <a:srgbClr val="000000"/>
            </a:solidFill>
            <a:latin typeface="Arial"/>
            <a:ea typeface="+mn-ea"/>
            <a:cs typeface="Arial"/>
          </a:endParaRPr>
        </a:p>
      </xdr:txBody>
    </xdr:sp>
    <xdr:clientData/>
  </xdr:twoCellAnchor>
  <xdr:twoCellAnchor>
    <xdr:from>
      <xdr:col>34</xdr:col>
      <xdr:colOff>41896</xdr:colOff>
      <xdr:row>27</xdr:row>
      <xdr:rowOff>89884</xdr:rowOff>
    </xdr:from>
    <xdr:to>
      <xdr:col>36</xdr:col>
      <xdr:colOff>158171</xdr:colOff>
      <xdr:row>28</xdr:row>
      <xdr:rowOff>114322</xdr:rowOff>
    </xdr:to>
    <xdr:sp macro="" textlink="'LB Calcs'!J20">
      <xdr:nvSpPr>
        <xdr:cNvPr id="20" name="Rectangle 19">
          <a:extLst>
            <a:ext uri="{FF2B5EF4-FFF2-40B4-BE49-F238E27FC236}">
              <a16:creationId xmlns:a16="http://schemas.microsoft.com/office/drawing/2014/main" id="{00000000-0008-0000-0100-000014000000}"/>
            </a:ext>
          </a:extLst>
        </xdr:cNvPr>
        <xdr:cNvSpPr/>
      </xdr:nvSpPr>
      <xdr:spPr>
        <a:xfrm rot="21420000">
          <a:off x="7804771" y="5461984"/>
          <a:ext cx="554425" cy="253038"/>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pPr marL="0" indent="0"/>
          <a:fld id="{BE91F181-74A1-4E79-941F-65FBD72CBD4E}" type="TxLink">
            <a:rPr lang="en-US" sz="800" b="0" i="0" u="none" strike="noStrike">
              <a:solidFill>
                <a:srgbClr val="000000"/>
              </a:solidFill>
              <a:latin typeface="Arial"/>
              <a:ea typeface="+mn-ea"/>
              <a:cs typeface="Arial"/>
            </a:rPr>
            <a:pPr marL="0" indent="0"/>
            <a:t>90.8 ft</a:t>
          </a:fld>
          <a:endParaRPr lang="en-US" sz="600" b="0" i="0" u="none" strike="noStrike">
            <a:solidFill>
              <a:srgbClr val="000000"/>
            </a:solidFill>
            <a:latin typeface="Arial"/>
            <a:ea typeface="+mn-ea"/>
            <a:cs typeface="Arial"/>
          </a:endParaRPr>
        </a:p>
      </xdr:txBody>
    </xdr:sp>
    <xdr:clientData/>
  </xdr:twoCellAnchor>
  <xdr:twoCellAnchor>
    <xdr:from>
      <xdr:col>37</xdr:col>
      <xdr:colOff>211404</xdr:colOff>
      <xdr:row>40</xdr:row>
      <xdr:rowOff>58237</xdr:rowOff>
    </xdr:from>
    <xdr:to>
      <xdr:col>42</xdr:col>
      <xdr:colOff>58452</xdr:colOff>
      <xdr:row>42</xdr:row>
      <xdr:rowOff>19413</xdr:rowOff>
    </xdr:to>
    <xdr:sp macro="" textlink="">
      <xdr:nvSpPr>
        <xdr:cNvPr id="6" name="TextBox 5">
          <a:extLst>
            <a:ext uri="{FF2B5EF4-FFF2-40B4-BE49-F238E27FC236}">
              <a16:creationId xmlns:a16="http://schemas.microsoft.com/office/drawing/2014/main" id="{4509AD41-D9B9-4106-AB80-09FB4A75EF3D}"/>
            </a:ext>
          </a:extLst>
        </xdr:cNvPr>
        <xdr:cNvSpPr txBox="1"/>
      </xdr:nvSpPr>
      <xdr:spPr>
        <a:xfrm>
          <a:off x="9056047" y="7603398"/>
          <a:ext cx="1003655" cy="2877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Thermoplastic</a:t>
          </a:r>
          <a:r>
            <a:rPr lang="en-US" sz="800" baseline="0">
              <a:latin typeface="Arial" panose="020B0604020202020204" pitchFamily="34" charset="0"/>
              <a:cs typeface="Arial" panose="020B0604020202020204" pitchFamily="34" charset="0"/>
            </a:rPr>
            <a:t> Liner Length</a:t>
          </a:r>
        </a:p>
        <a:p>
          <a:pPr algn="ctr"/>
          <a:endParaRPr lang="en-US" sz="600">
            <a:latin typeface="Arial" panose="020B0604020202020204" pitchFamily="34" charset="0"/>
            <a:cs typeface="Arial" panose="020B0604020202020204" pitchFamily="34" charset="0"/>
          </a:endParaRPr>
        </a:p>
      </xdr:txBody>
    </xdr:sp>
    <xdr:clientData/>
  </xdr:twoCellAnchor>
  <xdr:twoCellAnchor>
    <xdr:from>
      <xdr:col>43</xdr:col>
      <xdr:colOff>170459</xdr:colOff>
      <xdr:row>40</xdr:row>
      <xdr:rowOff>54427</xdr:rowOff>
    </xdr:from>
    <xdr:to>
      <xdr:col>48</xdr:col>
      <xdr:colOff>130454</xdr:colOff>
      <xdr:row>42</xdr:row>
      <xdr:rowOff>27033</xdr:rowOff>
    </xdr:to>
    <xdr:sp macro="" textlink="">
      <xdr:nvSpPr>
        <xdr:cNvPr id="17" name="TextBox 16">
          <a:extLst>
            <a:ext uri="{FF2B5EF4-FFF2-40B4-BE49-F238E27FC236}">
              <a16:creationId xmlns:a16="http://schemas.microsoft.com/office/drawing/2014/main" id="{3F3D268C-02E3-4383-8F3D-9108C16EEB11}"/>
            </a:ext>
          </a:extLst>
        </xdr:cNvPr>
        <xdr:cNvSpPr txBox="1"/>
      </xdr:nvSpPr>
      <xdr:spPr>
        <a:xfrm>
          <a:off x="10333634" y="7598227"/>
          <a:ext cx="988695" cy="2964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Thermoplastic</a:t>
          </a:r>
          <a:r>
            <a:rPr lang="en-US" sz="800" baseline="0">
              <a:latin typeface="Arial" panose="020B0604020202020204" pitchFamily="34" charset="0"/>
              <a:cs typeface="Arial" panose="020B0604020202020204" pitchFamily="34" charset="0"/>
            </a:rPr>
            <a:t> Liner Width</a:t>
          </a:r>
        </a:p>
        <a:p>
          <a:pPr algn="ctr"/>
          <a:endParaRPr lang="en-US" sz="600">
            <a:latin typeface="Arial" panose="020B0604020202020204" pitchFamily="34" charset="0"/>
            <a:cs typeface="Arial" panose="020B0604020202020204" pitchFamily="34" charset="0"/>
          </a:endParaRPr>
        </a:p>
      </xdr:txBody>
    </xdr:sp>
    <xdr:clientData/>
  </xdr:twoCellAnchor>
  <xdr:twoCellAnchor>
    <xdr:from>
      <xdr:col>50</xdr:col>
      <xdr:colOff>53340</xdr:colOff>
      <xdr:row>40</xdr:row>
      <xdr:rowOff>1897</xdr:rowOff>
    </xdr:from>
    <xdr:to>
      <xdr:col>55</xdr:col>
      <xdr:colOff>135255</xdr:colOff>
      <xdr:row>42</xdr:row>
      <xdr:rowOff>628</xdr:rowOff>
    </xdr:to>
    <xdr:sp macro="" textlink="">
      <xdr:nvSpPr>
        <xdr:cNvPr id="18" name="TextBox 17">
          <a:extLst>
            <a:ext uri="{FF2B5EF4-FFF2-40B4-BE49-F238E27FC236}">
              <a16:creationId xmlns:a16="http://schemas.microsoft.com/office/drawing/2014/main" id="{FA66E0CE-AD92-4654-9F19-39FAF4601C74}"/>
            </a:ext>
          </a:extLst>
        </xdr:cNvPr>
        <xdr:cNvSpPr txBox="1"/>
      </xdr:nvSpPr>
      <xdr:spPr>
        <a:xfrm>
          <a:off x="11569065" y="7545697"/>
          <a:ext cx="977265" cy="32258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Thermoplastic</a:t>
          </a:r>
          <a:r>
            <a:rPr lang="en-US" sz="800" baseline="0">
              <a:latin typeface="Arial" panose="020B0604020202020204" pitchFamily="34" charset="0"/>
              <a:cs typeface="Arial" panose="020B0604020202020204" pitchFamily="34" charset="0"/>
            </a:rPr>
            <a:t> Liner</a:t>
          </a:r>
        </a:p>
        <a:p>
          <a:pPr algn="ctr"/>
          <a:r>
            <a:rPr lang="en-US" sz="800" baseline="0">
              <a:latin typeface="Arial" panose="020B0604020202020204" pitchFamily="34" charset="0"/>
              <a:cs typeface="Arial" panose="020B0604020202020204" pitchFamily="34" charset="0"/>
            </a:rPr>
            <a:t>(Detention Only)</a:t>
          </a:r>
          <a:endParaRPr lang="en-US" sz="800">
            <a:latin typeface="Arial" panose="020B0604020202020204" pitchFamily="34" charset="0"/>
            <a:cs typeface="Arial" panose="020B0604020202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8</xdr:col>
          <xdr:colOff>57150</xdr:colOff>
          <xdr:row>9</xdr:row>
          <xdr:rowOff>95250</xdr:rowOff>
        </xdr:from>
        <xdr:to>
          <xdr:col>11</xdr:col>
          <xdr:colOff>104775</xdr:colOff>
          <xdr:row>11</xdr:row>
          <xdr:rowOff>9525</xdr:rowOff>
        </xdr:to>
        <xdr:sp macro="" textlink="">
          <xdr:nvSpPr>
            <xdr:cNvPr id="36598" name="Drop Down A" hidden="1">
              <a:extLst>
                <a:ext uri="{63B3BB69-23CF-44E3-9099-C40C66FF867C}">
                  <a14:compatExt spid="_x0000_s36598"/>
                </a:ext>
                <a:ext uri="{FF2B5EF4-FFF2-40B4-BE49-F238E27FC236}">
                  <a16:creationId xmlns:a16="http://schemas.microsoft.com/office/drawing/2014/main" id="{00000000-0008-0000-0100-0000F68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295275</xdr:colOff>
          <xdr:row>9</xdr:row>
          <xdr:rowOff>95250</xdr:rowOff>
        </xdr:from>
        <xdr:to>
          <xdr:col>18</xdr:col>
          <xdr:colOff>133350</xdr:colOff>
          <xdr:row>11</xdr:row>
          <xdr:rowOff>19050</xdr:rowOff>
        </xdr:to>
        <xdr:sp macro="" textlink="">
          <xdr:nvSpPr>
            <xdr:cNvPr id="36600" name="Drop Down A" hidden="1">
              <a:extLst>
                <a:ext uri="{63B3BB69-23CF-44E3-9099-C40C66FF867C}">
                  <a14:compatExt spid="_x0000_s36600"/>
                </a:ext>
                <a:ext uri="{FF2B5EF4-FFF2-40B4-BE49-F238E27FC236}">
                  <a16:creationId xmlns:a16="http://schemas.microsoft.com/office/drawing/2014/main" id="{00000000-0008-0000-0100-0000F88E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5</xdr:col>
      <xdr:colOff>114300</xdr:colOff>
      <xdr:row>9</xdr:row>
      <xdr:rowOff>95885</xdr:rowOff>
    </xdr:from>
    <xdr:to>
      <xdr:col>8</xdr:col>
      <xdr:colOff>15240</xdr:colOff>
      <xdr:row>11</xdr:row>
      <xdr:rowOff>23813</xdr:rowOff>
    </xdr:to>
    <xdr:sp macro="" textlink="">
      <xdr:nvSpPr>
        <xdr:cNvPr id="23" name="TextBox 22">
          <a:extLst>
            <a:ext uri="{FF2B5EF4-FFF2-40B4-BE49-F238E27FC236}">
              <a16:creationId xmlns:a16="http://schemas.microsoft.com/office/drawing/2014/main" id="{833DCE1B-A5A3-4328-9667-90C8A3A1C797}"/>
            </a:ext>
          </a:extLst>
        </xdr:cNvPr>
        <xdr:cNvSpPr txBox="1"/>
      </xdr:nvSpPr>
      <xdr:spPr>
        <a:xfrm>
          <a:off x="1009650" y="2067560"/>
          <a:ext cx="596265" cy="2708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r"/>
          <a:r>
            <a:rPr lang="en-US" sz="800">
              <a:latin typeface="Arial" panose="020B0604020202020204" pitchFamily="34" charset="0"/>
              <a:cs typeface="Arial" panose="020B0604020202020204" pitchFamily="34" charset="0"/>
            </a:rPr>
            <a:t>System Type</a:t>
          </a:r>
        </a:p>
      </xdr:txBody>
    </xdr:sp>
    <xdr:clientData/>
  </xdr:twoCellAnchor>
  <xdr:twoCellAnchor>
    <xdr:from>
      <xdr:col>12</xdr:col>
      <xdr:colOff>154554</xdr:colOff>
      <xdr:row>9</xdr:row>
      <xdr:rowOff>98743</xdr:rowOff>
    </xdr:from>
    <xdr:to>
      <xdr:col>14</xdr:col>
      <xdr:colOff>268854</xdr:colOff>
      <xdr:row>11</xdr:row>
      <xdr:rowOff>20956</xdr:rowOff>
    </xdr:to>
    <xdr:sp macro="" textlink="">
      <xdr:nvSpPr>
        <xdr:cNvPr id="24" name="TextBox 23">
          <a:extLst>
            <a:ext uri="{FF2B5EF4-FFF2-40B4-BE49-F238E27FC236}">
              <a16:creationId xmlns:a16="http://schemas.microsoft.com/office/drawing/2014/main" id="{932D0B92-844F-40B8-A16B-ADAB09086C29}"/>
            </a:ext>
          </a:extLst>
        </xdr:cNvPr>
        <xdr:cNvSpPr txBox="1"/>
      </xdr:nvSpPr>
      <xdr:spPr>
        <a:xfrm>
          <a:off x="2840604" y="2070418"/>
          <a:ext cx="638175" cy="2651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lIns="0" tIns="0" rIns="0" bIns="0" rtlCol="0" anchor="ctr"/>
        <a:lstStyle/>
        <a:p>
          <a:pPr algn="ctr"/>
          <a:r>
            <a:rPr lang="en-US" sz="800">
              <a:latin typeface="Arial" panose="020B0604020202020204" pitchFamily="34" charset="0"/>
              <a:cs typeface="Arial" panose="020B0604020202020204" pitchFamily="34" charset="0"/>
            </a:rPr>
            <a:t>Thermoplastic</a:t>
          </a:r>
          <a:r>
            <a:rPr lang="en-US" sz="800" baseline="0">
              <a:latin typeface="Arial" panose="020B0604020202020204" pitchFamily="34" charset="0"/>
              <a:cs typeface="Arial" panose="020B0604020202020204" pitchFamily="34" charset="0"/>
            </a:rPr>
            <a:t> Liner</a:t>
          </a:r>
          <a:endParaRPr lang="en-US" sz="80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11</xdr:col>
      <xdr:colOff>269843</xdr:colOff>
      <xdr:row>15</xdr:row>
      <xdr:rowOff>98901</xdr:rowOff>
    </xdr:from>
    <xdr:ext cx="65" cy="172227"/>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6137243" y="2242026"/>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US" sz="1100"/>
        </a:p>
      </xdr:txBody>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23</xdr:col>
      <xdr:colOff>304800</xdr:colOff>
      <xdr:row>12</xdr:row>
      <xdr:rowOff>57218</xdr:rowOff>
    </xdr:from>
    <xdr:to>
      <xdr:col>33</xdr:col>
      <xdr:colOff>227442</xdr:colOff>
      <xdr:row>24</xdr:row>
      <xdr:rowOff>266127</xdr:rowOff>
    </xdr:to>
    <xdr:pic>
      <xdr:nvPicPr>
        <xdr:cNvPr id="2" name="Picture 1">
          <a:extLst>
            <a:ext uri="{FF2B5EF4-FFF2-40B4-BE49-F238E27FC236}">
              <a16:creationId xmlns:a16="http://schemas.microsoft.com/office/drawing/2014/main" id="{CC56DEBB-EA06-3B3D-C130-F32CB5A4D549}"/>
            </a:ext>
          </a:extLst>
        </xdr:cNvPr>
        <xdr:cNvPicPr>
          <a:picLocks noChangeAspect="1"/>
        </xdr:cNvPicPr>
      </xdr:nvPicPr>
      <xdr:blipFill>
        <a:blip xmlns:r="http://schemas.openxmlformats.org/officeDocument/2006/relationships" r:embed="rId1"/>
        <a:stretch>
          <a:fillRect/>
        </a:stretch>
      </xdr:blipFill>
      <xdr:spPr>
        <a:xfrm>
          <a:off x="13944600" y="2495618"/>
          <a:ext cx="5066142" cy="249490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500062</xdr:colOff>
      <xdr:row>0</xdr:row>
      <xdr:rowOff>7938</xdr:rowOff>
    </xdr:from>
    <xdr:to>
      <xdr:col>3</xdr:col>
      <xdr:colOff>4903597</xdr:colOff>
      <xdr:row>0</xdr:row>
      <xdr:rowOff>3327210</xdr:rowOff>
    </xdr:to>
    <xdr:grpSp>
      <xdr:nvGrpSpPr>
        <xdr:cNvPr id="2" name="Group 1">
          <a:extLst>
            <a:ext uri="{FF2B5EF4-FFF2-40B4-BE49-F238E27FC236}">
              <a16:creationId xmlns:a16="http://schemas.microsoft.com/office/drawing/2014/main" id="{00000000-0008-0000-0500-000002000000}"/>
            </a:ext>
          </a:extLst>
        </xdr:cNvPr>
        <xdr:cNvGrpSpPr/>
      </xdr:nvGrpSpPr>
      <xdr:grpSpPr>
        <a:xfrm>
          <a:off x="5948362" y="7938"/>
          <a:ext cx="4917885" cy="3319272"/>
          <a:chOff x="5953125" y="7938"/>
          <a:chExt cx="4919472" cy="3319272"/>
        </a:xfrm>
      </xdr:grpSpPr>
      <xdr:pic>
        <xdr:nvPicPr>
          <xdr:cNvPr id="3" name="Picture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953125" y="7938"/>
            <a:ext cx="4919472" cy="3319272"/>
          </a:xfrm>
          <a:prstGeom prst="rect">
            <a:avLst/>
          </a:prstGeom>
        </xdr:spPr>
      </xdr:pic>
      <xdr:sp macro="" textlink="">
        <xdr:nvSpPr>
          <xdr:cNvPr id="4" name="Rectangle 3">
            <a:extLst>
              <a:ext uri="{FF2B5EF4-FFF2-40B4-BE49-F238E27FC236}">
                <a16:creationId xmlns:a16="http://schemas.microsoft.com/office/drawing/2014/main" id="{00000000-0008-0000-0500-000004000000}"/>
              </a:ext>
            </a:extLst>
          </xdr:cNvPr>
          <xdr:cNvSpPr/>
        </xdr:nvSpPr>
        <xdr:spPr>
          <a:xfrm rot="21420000">
            <a:off x="7452405" y="1991632"/>
            <a:ext cx="318408" cy="278493"/>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08216A1C-D26A-460E-8E7D-7B9698C3484E}" type="TxLink">
              <a:rPr lang="en-US" sz="600" b="0" i="0" u="none" strike="noStrike">
                <a:solidFill>
                  <a:srgbClr val="000000"/>
                </a:solidFill>
                <a:latin typeface="Arial"/>
                <a:cs typeface="Arial"/>
              </a:rPr>
              <a:pPr/>
              <a:t>216.9 ft</a:t>
            </a:fld>
            <a:endParaRPr lang="en-US" sz="600">
              <a:latin typeface="Arial"/>
              <a:cs typeface="Arial"/>
            </a:endParaRPr>
          </a:p>
        </xdr:txBody>
      </xdr:sp>
      <xdr:sp macro="" textlink="">
        <xdr:nvSpPr>
          <xdr:cNvPr id="5" name="Rectangle 4">
            <a:extLst>
              <a:ext uri="{FF2B5EF4-FFF2-40B4-BE49-F238E27FC236}">
                <a16:creationId xmlns:a16="http://schemas.microsoft.com/office/drawing/2014/main" id="{00000000-0008-0000-0500-000005000000}"/>
              </a:ext>
            </a:extLst>
          </xdr:cNvPr>
          <xdr:cNvSpPr/>
        </xdr:nvSpPr>
        <xdr:spPr>
          <a:xfrm rot="21420000">
            <a:off x="7309013" y="2175003"/>
            <a:ext cx="289296" cy="229850"/>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1E840174-0B24-4704-8B13-AA9BA00FC50B}" type="TxLink">
              <a:rPr lang="en-US" sz="600" b="0" i="0" u="none" strike="noStrike">
                <a:solidFill>
                  <a:srgbClr val="000000"/>
                </a:solidFill>
                <a:latin typeface="Arial"/>
                <a:cs typeface="Arial"/>
              </a:rPr>
              <a:pPr/>
              <a:t>223.3 ft</a:t>
            </a:fld>
            <a:endParaRPr lang="en-US" sz="600">
              <a:latin typeface="Arial"/>
              <a:cs typeface="Arial"/>
            </a:endParaRPr>
          </a:p>
        </xdr:txBody>
      </xdr:sp>
      <xdr:sp macro="" textlink="">
        <xdr:nvSpPr>
          <xdr:cNvPr id="6" name="Rectangle 5">
            <a:extLst>
              <a:ext uri="{FF2B5EF4-FFF2-40B4-BE49-F238E27FC236}">
                <a16:creationId xmlns:a16="http://schemas.microsoft.com/office/drawing/2014/main" id="{00000000-0008-0000-0500-000006000000}"/>
              </a:ext>
            </a:extLst>
          </xdr:cNvPr>
          <xdr:cNvSpPr/>
        </xdr:nvSpPr>
        <xdr:spPr>
          <a:xfrm>
            <a:off x="9864725" y="2390775"/>
            <a:ext cx="260587" cy="188173"/>
          </a:xfrm>
          <a:prstGeom prst="rect">
            <a:avLst/>
          </a:prstGeom>
          <a:solidFill>
            <a:schemeClr val="bg1"/>
          </a:solidFill>
          <a:ln>
            <a:noFill/>
          </a:ln>
          <a:scene3d>
            <a:camera prst="orthographicFront">
              <a:rot lat="0" lon="0" rev="180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842F03EE-5DEC-4EFD-A50D-08BA47CEDBA2}" type="TxLink">
              <a:rPr lang="en-US" sz="600" b="0" i="0" u="none" strike="noStrike">
                <a:solidFill>
                  <a:srgbClr val="000000"/>
                </a:solidFill>
                <a:latin typeface="Arial"/>
                <a:cs typeface="Arial"/>
              </a:rPr>
              <a:pPr/>
              <a:t>714.3 ft</a:t>
            </a:fld>
            <a:endParaRPr lang="en-US" sz="600">
              <a:latin typeface="Arial"/>
              <a:cs typeface="Arial"/>
            </a:endParaRPr>
          </a:p>
        </xdr:txBody>
      </xdr:sp>
      <xdr:sp macro="" textlink="">
        <xdr:nvSpPr>
          <xdr:cNvPr id="7" name="Rectangle 6">
            <a:extLst>
              <a:ext uri="{FF2B5EF4-FFF2-40B4-BE49-F238E27FC236}">
                <a16:creationId xmlns:a16="http://schemas.microsoft.com/office/drawing/2014/main" id="{00000000-0008-0000-0500-000007000000}"/>
              </a:ext>
            </a:extLst>
          </xdr:cNvPr>
          <xdr:cNvSpPr/>
        </xdr:nvSpPr>
        <xdr:spPr>
          <a:xfrm>
            <a:off x="10007600" y="2530929"/>
            <a:ext cx="260587" cy="188173"/>
          </a:xfrm>
          <a:prstGeom prst="rect">
            <a:avLst/>
          </a:prstGeom>
          <a:solidFill>
            <a:schemeClr val="bg1"/>
          </a:solidFill>
          <a:ln>
            <a:noFill/>
          </a:ln>
          <a:scene3d>
            <a:camera prst="orthographicFront">
              <a:rot lat="0" lon="0" rev="180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C96F3E58-23A0-4E50-80DD-942DCA41CDD4}" type="TxLink">
              <a:rPr lang="en-US" sz="600" b="0" i="0" u="none" strike="noStrike">
                <a:solidFill>
                  <a:srgbClr val="000000"/>
                </a:solidFill>
                <a:latin typeface="Arial"/>
                <a:cs typeface="Arial"/>
              </a:rPr>
              <a:pPr/>
              <a:t>716.3 ft</a:t>
            </a:fld>
            <a:endParaRPr lang="en-US" sz="600">
              <a:latin typeface="Arial"/>
              <a:cs typeface="Arial"/>
            </a:endParaRPr>
          </a:p>
        </xdr:txBody>
      </xdr:sp>
    </xdr:grpSp>
    <xdr:clientData/>
  </xdr:twoCellAnchor>
  <xdr:twoCellAnchor>
    <xdr:from>
      <xdr:col>3</xdr:col>
      <xdr:colOff>0</xdr:colOff>
      <xdr:row>1</xdr:row>
      <xdr:rowOff>0</xdr:rowOff>
    </xdr:from>
    <xdr:to>
      <xdr:col>3</xdr:col>
      <xdr:colOff>4919472</xdr:colOff>
      <xdr:row>1</xdr:row>
      <xdr:rowOff>3319272</xdr:rowOff>
    </xdr:to>
    <xdr:grpSp>
      <xdr:nvGrpSpPr>
        <xdr:cNvPr id="8" name="Group 7">
          <a:extLst>
            <a:ext uri="{FF2B5EF4-FFF2-40B4-BE49-F238E27FC236}">
              <a16:creationId xmlns:a16="http://schemas.microsoft.com/office/drawing/2014/main" id="{00000000-0008-0000-0500-000008000000}"/>
            </a:ext>
          </a:extLst>
        </xdr:cNvPr>
        <xdr:cNvGrpSpPr/>
      </xdr:nvGrpSpPr>
      <xdr:grpSpPr>
        <a:xfrm>
          <a:off x="5962650" y="3419475"/>
          <a:ext cx="4919472" cy="3319272"/>
          <a:chOff x="5969000" y="3333750"/>
          <a:chExt cx="4919472" cy="3319272"/>
        </a:xfrm>
      </xdr:grpSpPr>
      <xdr:pic>
        <xdr:nvPicPr>
          <xdr:cNvPr id="9" name="Picture 8">
            <a:extLst>
              <a:ext uri="{FF2B5EF4-FFF2-40B4-BE49-F238E27FC236}">
                <a16:creationId xmlns:a16="http://schemas.microsoft.com/office/drawing/2014/main" id="{00000000-0008-0000-05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969000" y="3333750"/>
            <a:ext cx="4919472" cy="3319272"/>
          </a:xfrm>
          <a:prstGeom prst="rect">
            <a:avLst/>
          </a:prstGeom>
        </xdr:spPr>
      </xdr:pic>
      <xdr:sp macro="" textlink="">
        <xdr:nvSpPr>
          <xdr:cNvPr id="10" name="Rectangle 9">
            <a:extLst>
              <a:ext uri="{FF2B5EF4-FFF2-40B4-BE49-F238E27FC236}">
                <a16:creationId xmlns:a16="http://schemas.microsoft.com/office/drawing/2014/main" id="{00000000-0008-0000-0500-00000A000000}"/>
              </a:ext>
            </a:extLst>
          </xdr:cNvPr>
          <xdr:cNvSpPr/>
        </xdr:nvSpPr>
        <xdr:spPr>
          <a:xfrm>
            <a:off x="7450137" y="5349194"/>
            <a:ext cx="260587" cy="188173"/>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BF3A8830-0720-4C84-AD9D-7E5694017533}" type="TxLink">
              <a:rPr lang="en-US" sz="700" b="0" i="0" u="none" strike="noStrike">
                <a:solidFill>
                  <a:srgbClr val="000000"/>
                </a:solidFill>
                <a:latin typeface="Arial"/>
                <a:cs typeface="Arial"/>
              </a:rPr>
              <a:pPr/>
              <a:t>216.9'</a:t>
            </a:fld>
            <a:endParaRPr lang="en-US" sz="700">
              <a:latin typeface="Arial"/>
              <a:cs typeface="Arial"/>
            </a:endParaRPr>
          </a:p>
        </xdr:txBody>
      </xdr:sp>
      <xdr:sp macro="" textlink="">
        <xdr:nvSpPr>
          <xdr:cNvPr id="11" name="Rectangle 10">
            <a:extLst>
              <a:ext uri="{FF2B5EF4-FFF2-40B4-BE49-F238E27FC236}">
                <a16:creationId xmlns:a16="http://schemas.microsoft.com/office/drawing/2014/main" id="{00000000-0008-0000-0500-00000B000000}"/>
              </a:ext>
            </a:extLst>
          </xdr:cNvPr>
          <xdr:cNvSpPr/>
        </xdr:nvSpPr>
        <xdr:spPr>
          <a:xfrm>
            <a:off x="7297737" y="5501594"/>
            <a:ext cx="260587" cy="188173"/>
          </a:xfrm>
          <a:prstGeom prst="rect">
            <a:avLst/>
          </a:prstGeom>
          <a:solidFill>
            <a:schemeClr val="bg1"/>
          </a:solidFill>
          <a:ln>
            <a:noFill/>
          </a:ln>
          <a:scene3d>
            <a:camera prst="orthographicFront">
              <a:rot lat="0" lon="0" rev="1962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EEE1902D-4DF9-4331-89BE-0DF31DF89E19}" type="TxLink">
              <a:rPr lang="en-US" sz="700" b="0" i="0" u="none" strike="noStrike">
                <a:solidFill>
                  <a:srgbClr val="000000"/>
                </a:solidFill>
                <a:latin typeface="Arial"/>
                <a:cs typeface="Arial"/>
              </a:rPr>
              <a:pPr/>
              <a:t>223.3'</a:t>
            </a:fld>
            <a:endParaRPr lang="en-US" sz="700">
              <a:latin typeface="Arial"/>
              <a:cs typeface="Arial"/>
            </a:endParaRPr>
          </a:p>
        </xdr:txBody>
      </xdr:sp>
      <xdr:sp macro="" textlink="">
        <xdr:nvSpPr>
          <xdr:cNvPr id="12" name="Rectangle 11">
            <a:extLst>
              <a:ext uri="{FF2B5EF4-FFF2-40B4-BE49-F238E27FC236}">
                <a16:creationId xmlns:a16="http://schemas.microsoft.com/office/drawing/2014/main" id="{00000000-0008-0000-0500-00000C000000}"/>
              </a:ext>
            </a:extLst>
          </xdr:cNvPr>
          <xdr:cNvSpPr/>
        </xdr:nvSpPr>
        <xdr:spPr>
          <a:xfrm>
            <a:off x="9854520" y="5716586"/>
            <a:ext cx="260587" cy="188173"/>
          </a:xfrm>
          <a:prstGeom prst="rect">
            <a:avLst/>
          </a:prstGeom>
          <a:solidFill>
            <a:schemeClr val="bg1"/>
          </a:solidFill>
          <a:ln>
            <a:noFill/>
          </a:ln>
          <a:scene3d>
            <a:camera prst="orthographicFront">
              <a:rot lat="0" lon="0" rev="180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24547B61-7CC7-4E6A-AF04-EE3F3B91AD1E}" type="TxLink">
              <a:rPr lang="en-US" sz="700" b="0" i="0" u="none" strike="noStrike">
                <a:solidFill>
                  <a:srgbClr val="000000"/>
                </a:solidFill>
                <a:latin typeface="Arial"/>
                <a:cs typeface="Arial"/>
              </a:rPr>
              <a:pPr/>
              <a:t>714.3'</a:t>
            </a:fld>
            <a:endParaRPr lang="en-US" sz="700">
              <a:latin typeface="Arial"/>
              <a:cs typeface="Arial"/>
            </a:endParaRPr>
          </a:p>
        </xdr:txBody>
      </xdr:sp>
      <xdr:sp macro="" textlink="">
        <xdr:nvSpPr>
          <xdr:cNvPr id="13" name="Rectangle 12">
            <a:extLst>
              <a:ext uri="{FF2B5EF4-FFF2-40B4-BE49-F238E27FC236}">
                <a16:creationId xmlns:a16="http://schemas.microsoft.com/office/drawing/2014/main" id="{00000000-0008-0000-0500-00000D000000}"/>
              </a:ext>
            </a:extLst>
          </xdr:cNvPr>
          <xdr:cNvSpPr/>
        </xdr:nvSpPr>
        <xdr:spPr>
          <a:xfrm>
            <a:off x="9997395" y="5856740"/>
            <a:ext cx="260587" cy="188173"/>
          </a:xfrm>
          <a:prstGeom prst="rect">
            <a:avLst/>
          </a:prstGeom>
          <a:solidFill>
            <a:schemeClr val="bg1"/>
          </a:solidFill>
          <a:ln>
            <a:noFill/>
          </a:ln>
          <a:scene3d>
            <a:camera prst="orthographicFront">
              <a:rot lat="0" lon="0" rev="180000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0" tIns="0" rIns="0" bIns="0" rtlCol="0" anchor="ctr" anchorCtr="1"/>
          <a:lstStyle/>
          <a:p>
            <a:fld id="{F8F42504-7560-42F4-97AF-46891F895EF9}" type="TxLink">
              <a:rPr lang="en-US" sz="700" b="0" i="0" u="none" strike="noStrike">
                <a:solidFill>
                  <a:srgbClr val="000000"/>
                </a:solidFill>
                <a:latin typeface="Arial"/>
                <a:cs typeface="Arial"/>
              </a:rPr>
              <a:pPr/>
              <a:t>716.3'</a:t>
            </a:fld>
            <a:endParaRPr lang="en-US" sz="700">
              <a:latin typeface="Arial"/>
              <a:cs typeface="Arial"/>
            </a:endParaRPr>
          </a:p>
        </xdr:txBody>
      </xdr:sp>
    </xdr:grpSp>
    <xdr:clientData/>
  </xdr:twoCellAnchor>
  <xdr:twoCellAnchor>
    <xdr:from>
      <xdr:col>6</xdr:col>
      <xdr:colOff>99391</xdr:colOff>
      <xdr:row>0</xdr:row>
      <xdr:rowOff>0</xdr:rowOff>
    </xdr:from>
    <xdr:to>
      <xdr:col>7</xdr:col>
      <xdr:colOff>90711</xdr:colOff>
      <xdr:row>0</xdr:row>
      <xdr:rowOff>3319272</xdr:rowOff>
    </xdr:to>
    <xdr:pic>
      <xdr:nvPicPr>
        <xdr:cNvPr id="14" name="Picture 13">
          <a:extLst>
            <a:ext uri="{FF2B5EF4-FFF2-40B4-BE49-F238E27FC236}">
              <a16:creationId xmlns:a16="http://schemas.microsoft.com/office/drawing/2014/main" id="{00000000-0008-0000-0500-00000E000000}"/>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024691" y="0"/>
          <a:ext cx="4915745" cy="3319272"/>
        </a:xfrm>
        <a:prstGeom prst="rect">
          <a:avLst/>
        </a:prstGeom>
      </xdr:spPr>
    </xdr:pic>
    <xdr:clientData/>
  </xdr:twoCellAnchor>
  <xdr:twoCellAnchor>
    <xdr:from>
      <xdr:col>6</xdr:col>
      <xdr:colOff>0</xdr:colOff>
      <xdr:row>1</xdr:row>
      <xdr:rowOff>0</xdr:rowOff>
    </xdr:from>
    <xdr:to>
      <xdr:col>6</xdr:col>
      <xdr:colOff>4919472</xdr:colOff>
      <xdr:row>1</xdr:row>
      <xdr:rowOff>3319272</xdr:rowOff>
    </xdr:to>
    <xdr:pic>
      <xdr:nvPicPr>
        <xdr:cNvPr id="15" name="Picture 14">
          <a:extLst>
            <a:ext uri="{FF2B5EF4-FFF2-40B4-BE49-F238E27FC236}">
              <a16:creationId xmlns:a16="http://schemas.microsoft.com/office/drawing/2014/main" id="{00000000-0008-0000-0500-00000F000000}"/>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925300" y="3419475"/>
          <a:ext cx="4919472" cy="3319272"/>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6</xdr:col>
      <xdr:colOff>167640</xdr:colOff>
      <xdr:row>21</xdr:row>
      <xdr:rowOff>411480</xdr:rowOff>
    </xdr:from>
    <xdr:to>
      <xdr:col>11</xdr:col>
      <xdr:colOff>160020</xdr:colOff>
      <xdr:row>21</xdr:row>
      <xdr:rowOff>1790700</xdr:rowOff>
    </xdr:to>
    <xdr:sp macro="" textlink="">
      <xdr:nvSpPr>
        <xdr:cNvPr id="2" name="TextBox 1">
          <a:extLst>
            <a:ext uri="{FF2B5EF4-FFF2-40B4-BE49-F238E27FC236}">
              <a16:creationId xmlns:a16="http://schemas.microsoft.com/office/drawing/2014/main" id="{00000000-0008-0000-0600-000002000000}"/>
            </a:ext>
          </a:extLst>
        </xdr:cNvPr>
        <xdr:cNvSpPr txBox="1"/>
      </xdr:nvSpPr>
      <xdr:spPr>
        <a:xfrm>
          <a:off x="7901940" y="4983480"/>
          <a:ext cx="3040380" cy="1379220"/>
        </a:xfrm>
        <a:prstGeom prst="rect">
          <a:avLst/>
        </a:prstGeom>
        <a:solidFill>
          <a:schemeClr val="accent4"/>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Only change from 6.2 to 6.3</a:t>
          </a:r>
          <a:r>
            <a:rPr lang="en-US" sz="1100" baseline="0"/>
            <a:t> (example)</a:t>
          </a:r>
          <a:r>
            <a:rPr lang="en-US" sz="1100"/>
            <a:t> if a major calculation is changed that affects results thus needing to update the online version.</a:t>
          </a:r>
          <a:r>
            <a:rPr lang="en-US" sz="1100" baseline="0"/>
            <a:t> Otherwise if changing minor visuals/adding options for customers/other minor things make it 6.2.1 and so forth along with summary in the title and track changes made.</a:t>
          </a:r>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prinsco.com/Users/brett.hultgren/Desktop/Prinsco/Prinsco%20Hydrostor%20Calculator%20v%202%2050%20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olume-Based Calculator"/>
      <sheetName val="Layout-Based Calculator"/>
      <sheetName val="Revision History"/>
      <sheetName val="VB Calcs"/>
      <sheetName val="LB Calcs"/>
      <sheetName val="Tables"/>
      <sheetName val="Pics"/>
      <sheetName val="Draft"/>
    </sheetNames>
    <sheetDataSet>
      <sheetData sheetId="0"/>
      <sheetData sheetId="1"/>
      <sheetData sheetId="2"/>
      <sheetData sheetId="3"/>
      <sheetData sheetId="4">
        <row r="4">
          <cell r="J4" t="str">
            <v>HS75</v>
          </cell>
        </row>
        <row r="40">
          <cell r="G40" t="str">
            <v>DM</v>
          </cell>
        </row>
      </sheetData>
      <sheetData sheetId="5">
        <row r="16">
          <cell r="F16">
            <v>84.85</v>
          </cell>
        </row>
      </sheetData>
      <sheetData sheetId="6"/>
      <sheetData sheetId="7">
        <row r="3">
          <cell r="Q3" t="str">
            <v>Metric</v>
          </cell>
        </row>
      </sheetData>
    </sheetDataSet>
  </externalBook>
</externalLink>
</file>

<file path=xl/persons/person.xml><?xml version="1.0" encoding="utf-8"?>
<personList xmlns="http://schemas.microsoft.com/office/spreadsheetml/2018/threadedcomments" xmlns:x="http://schemas.openxmlformats.org/spreadsheetml/2006/main">
  <person displayName="Amelie Dulas" id="{0C75D847-E252-4DAB-A68F-D277B22EDF7C}" userId="S::Amelie.Dulas@prinsco.com::199c4f30-71e7-40a2-b038-7ca8d29e9700" providerId="AD"/>
  <person displayName="Bryce Erickson" id="{074CEC69-FA22-47AC-B374-28B8AC13612E}" userId="S::Bryce.Erickson@prinsco.com::c311b229-5746-4892-81b1-6eb997c4b83e"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N1" dT="2026-04-01T16:39:09.10" personId="{074CEC69-FA22-47AC-B374-28B8AC13612E}" id="{A3B6DB69-EA11-4F2C-B051-5E3719149B1E}" done="1">
    <text>Added 0 manifold option</text>
  </threadedComment>
  <threadedComment ref="G5" dT="2026-03-31T14:38:46.43" personId="{074CEC69-FA22-47AC-B374-28B8AC13612E}" id="{1BE2E191-B24F-40B9-BC8E-B4A032FC5D17}">
    <text>Updated from old equation =IF(C7="YES",(((VLOOKUP(C5,Tables!C3:Q11,13,0))+((C8-1)*VLOOKUP(C5,Tables!C3:Q11,10,0))+((G19-(VLOOKUP(C5,Tables!C3:Q11,12,0)/12)-((C8-1)*(VLOOKUP(C5,Tables!C3:Q11,9,0)/12)))*VLOOKUP(C5,Tables!C3:Q11,8,0)))*C6),0)</text>
  </threadedComment>
  <threadedComment ref="C6" dT="2026-04-01T16:39:34.63" personId="{074CEC69-FA22-47AC-B374-28B8AC13612E}" id="{147C4C57-395D-491A-A3EF-A8C779A3C89A}" done="1">
    <text>Updated to include no manifolds</text>
  </threadedComment>
  <threadedComment ref="G6" dT="2026-03-31T15:07:07.22" personId="{074CEC69-FA22-47AC-B374-28B8AC13612E}" id="{25180B20-2680-49DD-A305-B12080521C90}">
    <text>Updated from old equation
=((((C8-1)*VLOOKUP(C5,Tables!C3:Q11,11,0))+((G19+(VLOOKUP(C5,Tables!C3:Q11,12,0)/12)-((C8-1)*(VLOOKUP(C5,Tables!C3:Q11,9,0)/12)))*VLOOKUP(C5,Tables!C3:Q11,15,0)))*C6)</text>
  </threadedComment>
  <threadedComment ref="G11" dT="2026-03-25T13:35:13.00" personId="{074CEC69-FA22-47AC-B374-28B8AC13612E}" id="{EE34B3C8-9E10-4046-BC56-047D590F1F68}" done="1">
    <text>Updated old equation pasted below.
=(((G9*2)+(G20*G35*2)+(G21*G35*2))*1.2)/9</text>
  </threadedComment>
  <threadedComment ref="G20" dT="2026-04-01T18:36:37.88" personId="{074CEC69-FA22-47AC-B374-28B8AC13612E}" id="{CDA4A1DE-96C6-4FEE-B960-A15C7F82D4FE}">
    <text xml:space="preserve">Updated equation from, removed adding the 0.5” and 1” 
=G18+IF(C6=0,(G25/12)*2,IF(C6=1,(G25/12)+1,2))
</text>
  </threadedComment>
  <threadedComment ref="G35" dT="2026-04-01T19:25:54.36" personId="{074CEC69-FA22-47AC-B374-28B8AC13612E}" id="{882B9A8A-836C-4BB1-ADE1-A4C17AF31C1F}" done="1">
    <text>Removed round function</text>
  </threadedComment>
  <threadedComment ref="G37" dT="2026-07-23T13:45:14.09" personId="{0C75D847-E252-4DAB-A68F-D277B22EDF7C}" id="{59F74278-914A-4104-AEDA-EA0160C8E69A}">
    <text>Made this reference Tables Tab</text>
  </threadedComment>
  <threadedComment ref="G39" dT="2026-03-31T14:28:02.03" personId="{074CEC69-FA22-47AC-B374-28B8AC13612E}" id="{284A686D-768D-45FA-A3F1-DDE5B0F1182D}" done="1">
    <text>Updated from old equation
=(((G19-(G23/12)+1.33)*15)*1)/9</text>
  </threadedComment>
  <threadedComment ref="G40" dT="2026-03-25T13:50:52.97" personId="{074CEC69-FA22-47AC-B374-28B8AC13612E}" id="{CF4C0E70-05DB-4E9F-9838-F1489CB0DA10}" done="1">
    <text>Updated equation to reflect systems calc 6.6
=((((IF(C4="HS75",Tables!R16,IF(C4="HS180",Tables!R17,IF(C4="HS31",Tables!R15,Tables!R18)))*(G13+2))*2)*1)/9)</text>
  </threadedComment>
  <threadedComment ref="G50" dT="2026-07-23T14:44:27.85" personId="{0C75D847-E252-4DAB-A68F-D277B22EDF7C}" id="{FAED72D8-0EFD-46E9-8773-923FFC7C4809}">
    <text>References cell G37 now</text>
  </threadedComment>
  <threadedComment ref="F66" dT="2026-03-25T13:11:33.13" personId="{074CEC69-FA22-47AC-B374-28B8AC13612E}" id="{EA7341D0-27CB-4FA2-AEC1-C79D72F4B536}" done="1">
    <text>All liner calcs are new, they are empty for retention systems and when no liner is selected.</text>
  </threadedComment>
</ThreadedComments>
</file>

<file path=xl/threadedComments/threadedComment2.xml><?xml version="1.0" encoding="utf-8"?>
<ThreadedComments xmlns="http://schemas.microsoft.com/office/spreadsheetml/2018/threadedcomments" xmlns:x="http://schemas.openxmlformats.org/spreadsheetml/2006/main">
  <threadedComment ref="T1" dT="2025-03-20T21:18:02.23" personId="{0C75D847-E252-4DAB-A68F-D277B22EDF7C}" id="{183FE380-800A-4393-9503-415AE3A4D3BD}">
    <text>These values are based on the old pipe gallery 4.9 (2021). They assume no concrete structure</text>
  </threadedComment>
  <threadedComment ref="F2" dT="2026-03-25T20:24:24.43" personId="{074CEC69-FA22-47AC-B374-28B8AC13612E}" id="{31092ED9-2D77-4D9A-884E-2FB5326BD585}" done="1">
    <text>Updated all but 0, 8, 10 to match pipe systems calc</text>
  </threadedComment>
  <threadedComment ref="G2" dT="2026-03-25T20:25:38.27" personId="{074CEC69-FA22-47AC-B374-28B8AC13612E}" id="{1340C2A4-1A05-4611-9ACD-E58AFB045266}" done="1">
    <text>Updated all but 0, 8, 10 to match pipe systems calc</text>
  </threadedComment>
  <threadedComment ref="O2" dT="2026-03-26T19:42:46.62" personId="{074CEC69-FA22-47AC-B374-28B8AC13612E}" id="{7BD9B739-72B7-4B19-AEDF-0F65193131B7}" done="1">
    <text>Multiplied by 2 since only half the 90 was counted, this is not actually used to calculate anything</text>
  </threadedComment>
  <threadedComment ref="T2" dT="2026-03-26T19:45:28.01" personId="{074CEC69-FA22-47AC-B374-28B8AC13612E}" id="{D0F64FB4-76CB-4124-AE3A-0C27A0441E18}" done="1">
    <text xml:space="preserve">Not sure where the stub values came from for all of the endcaps. I think having a standard value of 18” would be more accurate to what actually takes place. </text>
  </threadedComment>
  <threadedComment ref="D10" dT="2026-03-25T21:47:54.88" personId="{074CEC69-FA22-47AC-B374-28B8AC13612E}" id="{AA848A45-D0D9-4E08-A03D-C4BD924412FB}" done="1">
    <text>Updated to match systems calc</text>
  </threadedComment>
  <threadedComment ref="J10" dT="2026-03-25T21:48:46.70" personId="{074CEC69-FA22-47AC-B374-28B8AC13612E}" id="{9ACB7AE7-87D0-4202-9F9A-5AF478602DC9}" done="1">
    <text>Updated to match systems calc</text>
  </threadedComment>
  <threadedComment ref="E11" dT="2026-03-25T21:48:11.41" personId="{074CEC69-FA22-47AC-B374-28B8AC13612E}" id="{A2B4E355-E015-4954-ABDD-7EB6FC88D6EC}" done="1">
    <text>Updated to match systems calc</text>
  </threadedComment>
  <threadedComment ref="J11" dT="2026-03-25T21:48:51.25" personId="{074CEC69-FA22-47AC-B374-28B8AC13612E}" id="{AAF7923B-0E2B-4280-A622-25CA4C8F8BC4}" done="1">
    <text>Updated to match systems calc</text>
  </threadedComment>
  <threadedComment ref="B14" dT="2026-04-08T18:52:24.72" personId="{074CEC69-FA22-47AC-B374-28B8AC13612E}" id="{613A006F-C6C8-4A35-AB6A-A5D162FF2CF1}">
    <text>Updated this table to reflect the specs on 4/8/26</text>
  </threadedComment>
  <threadedComment ref="S14" dT="2026-07-23T13:44:29.94" personId="{0C75D847-E252-4DAB-A68F-D277B22EDF7C}" id="{BEDF0D46-6E06-481C-9E07-741E2E341E14}">
    <text>Added this column since the HS290 is 7’ now</text>
  </threadedComment>
  <threadedComment ref="O15" dT="2023-03-08T14:43:35.75" personId="{0C75D847-E252-4DAB-A68F-D277B22EDF7C}" id="{97E4F4FE-9066-4ECA-BD55-D279CB245983}">
    <text>From 14.9 to 15.16</text>
  </threadedComment>
  <threadedComment ref="O15" dT="2026-03-25T14:03:03.42" personId="{074CEC69-FA22-47AC-B374-28B8AC13612E}" id="{0D4910A4-EAA8-400A-B9F6-D168174735CA}" parentId="{97E4F4FE-9066-4ECA-BD55-D279CB245983}">
    <text>Updated from 15.15 to 15.14</text>
  </threadedComment>
  <threadedComment ref="Q15" dT="2023-03-08T14:42:29.33" personId="{0C75D847-E252-4DAB-A68F-D277B22EDF7C}" id="{35B9359C-40DA-43D5-AAC9-FD1C3B64D64E}">
    <text>From 0.47 to 0.62</text>
  </threadedComment>
  <threadedComment ref="O16" dT="2023-03-08T14:45:45.63" personId="{0C75D847-E252-4DAB-A68F-D277B22EDF7C}" id="{FB71A6E4-B88B-40BE-99E9-8626FAE0FAEE}">
    <text>From 46.40 to 46.64</text>
  </threadedComment>
  <threadedComment ref="O16" dT="2026-03-25T14:02:34.68" personId="{074CEC69-FA22-47AC-B374-28B8AC13612E}" id="{378441D8-2475-45DB-AFAD-16162EAAACC1}" parentId="{FB71A6E4-B88B-40BE-99E9-8626FAE0FAEE}">
    <text>Updated from 46.64 to 46.6</text>
  </threadedComment>
  <threadedComment ref="Q16" dT="2023-03-08T14:46:36.46" personId="{0C75D847-E252-4DAB-A68F-D277B22EDF7C}" id="{8629E4EF-4269-4B36-843A-08BBB8B874B4}">
    <text>From 2.75 to 3.42</text>
  </threadedComment>
  <threadedComment ref="Q16" dT="2026-03-25T14:04:56.07" personId="{074CEC69-FA22-47AC-B374-28B8AC13612E}" id="{67C3173C-BF2D-4DC3-9E0D-94EDA61E0635}" parentId="{8629E4EF-4269-4B36-843A-08BBB8B874B4}">
    <text>Updated from 3.42 to 3.4</text>
  </threadedComment>
  <threadedComment ref="J17" dT="2026-03-26T19:41:31.80" personId="{074CEC69-FA22-47AC-B374-28B8AC13612E}" id="{DB844D61-753E-4F5D-8A34-C24100D1B7AD}" done="1">
    <text>Updated to 12” since that is what is always used</text>
  </threadedComment>
  <threadedComment ref="O17" dT="2026-03-25T14:03:31.17" personId="{074CEC69-FA22-47AC-B374-28B8AC13612E}" id="{72A42D82-EAF5-4F12-A9A9-DB6D1132843C}">
    <text>Updated from 113.6 to 133.57</text>
  </threadedComment>
  <threadedComment ref="Q17" dT="2026-03-25T14:05:29.92" personId="{074CEC69-FA22-47AC-B374-28B8AC13612E}" id="{14C5C02D-8E7D-4551-967B-BD14BC59B8CB}">
    <text>Updated from 15.3 to 15.33</text>
  </threadedComment>
  <threadedComment ref="D18" dT="2026-04-01T21:30:10.01" personId="{074CEC69-FA22-47AC-B374-28B8AC13612E}" id="{3C117186-D692-455C-8CE2-1499BA1858E2}" done="1">
    <text>Changed from 60 to 59.5 to match system calc</text>
  </threadedComment>
  <threadedComment ref="O18" dT="2026-03-25T14:04:05.51" personId="{074CEC69-FA22-47AC-B374-28B8AC13612E}" id="{B5CF150C-2AC4-465E-A702-356943E8779E}">
    <text>Updated from 109.6 to 109.67</text>
  </threadedComment>
  <threadedComment ref="P18" dT="2026-04-01T21:27:39.21" personId="{074CEC69-FA22-47AC-B374-28B8AC13612E}" id="{F6C573C4-D74A-415B-90D0-F263A74F4505}" done="1">
    <text>Changed from 32.4 to 32.3607</text>
  </threadedComment>
</ThreadedComments>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trlProp" Target="../ctrlProps/ctrlProp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4.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Q270"/>
  <sheetViews>
    <sheetView showGridLines="0" tabSelected="1" topLeftCell="A8" zoomScale="80" zoomScaleNormal="80" workbookViewId="0">
      <selection activeCell="M49" sqref="M49:N49"/>
    </sheetView>
  </sheetViews>
  <sheetFormatPr defaultColWidth="9.28515625" defaultRowHeight="15"/>
  <cols>
    <col min="1" max="1" width="23" style="30" customWidth="1"/>
    <col min="2" max="2" width="6.7109375" style="30" customWidth="1"/>
    <col min="3" max="3" width="7.5703125" style="30" customWidth="1"/>
    <col min="4" max="4" width="9.28515625" style="30" customWidth="1"/>
    <col min="5" max="5" width="7.28515625" style="30" customWidth="1"/>
    <col min="6" max="6" width="9.28515625" style="30"/>
    <col min="7" max="7" width="9.28515625" style="30" customWidth="1"/>
    <col min="8" max="8" width="6.42578125" style="30" customWidth="1"/>
    <col min="9" max="9" width="7.28515625" style="30" customWidth="1"/>
    <col min="10" max="10" width="6.7109375" style="30" customWidth="1"/>
    <col min="11" max="11" width="2.42578125" style="30" customWidth="1"/>
    <col min="12" max="12" width="9.28515625" style="30" customWidth="1"/>
    <col min="13" max="13" width="2.28515625" style="30" customWidth="1"/>
    <col min="14" max="14" width="6.7109375" style="30" customWidth="1"/>
    <col min="15" max="15" width="9.28515625" style="30" customWidth="1"/>
    <col min="16" max="16" width="9.42578125" style="30" customWidth="1"/>
    <col min="17" max="17" width="10.5703125" style="30" customWidth="1"/>
    <col min="18" max="18" width="9.28515625" style="30"/>
    <col min="19" max="19" width="2.42578125" style="30" customWidth="1"/>
    <col min="20" max="20" width="9.28515625" style="30" customWidth="1"/>
    <col min="21" max="21" width="1.42578125" style="30" customWidth="1"/>
    <col min="22" max="22" width="9.28515625" style="30" customWidth="1"/>
    <col min="23" max="23" width="9.28515625" style="30"/>
    <col min="24" max="24" width="9.28515625" style="30" customWidth="1"/>
    <col min="25" max="25" width="8" style="30" customWidth="1"/>
    <col min="26" max="26" width="3.7109375" style="30" customWidth="1"/>
    <col min="27" max="27" width="9.28515625" style="30" customWidth="1"/>
    <col min="28" max="28" width="4.28515625" style="30" customWidth="1"/>
    <col min="29" max="29" width="11.42578125" style="30" customWidth="1"/>
    <col min="30" max="30" width="10.85546875" style="30" customWidth="1"/>
    <col min="31" max="31" width="4.28515625" style="30" customWidth="1"/>
    <col min="32" max="32" width="6.28515625" style="30" customWidth="1"/>
    <col min="33" max="33" width="9.28515625" style="53" hidden="1" customWidth="1"/>
    <col min="34" max="34" width="3.7109375" style="53" hidden="1" customWidth="1"/>
    <col min="35" max="35" width="5.5703125" style="53" hidden="1" customWidth="1"/>
    <col min="36" max="38" width="6.140625" style="53" hidden="1" customWidth="1"/>
    <col min="39" max="39" width="5.85546875" style="53" hidden="1" customWidth="1"/>
    <col min="40" max="40" width="7.28515625" style="53" hidden="1" customWidth="1"/>
    <col min="41" max="41" width="12.28515625" style="53" hidden="1" customWidth="1"/>
    <col min="42" max="42" width="6" style="53" customWidth="1"/>
    <col min="43" max="43" width="5.42578125" style="53" hidden="1" customWidth="1"/>
    <col min="44" max="44" width="7.7109375" style="53" hidden="1" customWidth="1"/>
    <col min="45" max="47" width="12.28515625" style="53" customWidth="1"/>
    <col min="48" max="48" width="0.140625" style="53" customWidth="1"/>
    <col min="49" max="49" width="13.7109375" style="53" customWidth="1"/>
    <col min="50" max="69" width="9.28515625" style="53"/>
    <col min="70" max="16384" width="9.28515625" style="30"/>
  </cols>
  <sheetData>
    <row r="1" spans="1:37" ht="15.75" thickTop="1">
      <c r="B1" s="78"/>
      <c r="C1" s="79"/>
      <c r="D1" s="79"/>
      <c r="E1" s="79"/>
      <c r="F1" s="79"/>
      <c r="G1" s="79"/>
      <c r="H1" s="79"/>
      <c r="I1" s="79"/>
      <c r="J1" s="79"/>
      <c r="K1" s="79"/>
      <c r="L1" s="79"/>
      <c r="M1" s="79"/>
      <c r="N1" s="79"/>
      <c r="O1" s="79"/>
      <c r="P1" s="79"/>
      <c r="Q1" s="79"/>
      <c r="R1" s="79"/>
      <c r="S1" s="79"/>
      <c r="T1" s="79"/>
      <c r="U1" s="79"/>
      <c r="V1" s="79"/>
      <c r="W1" s="79"/>
      <c r="X1" s="79"/>
      <c r="Y1" s="79"/>
      <c r="Z1" s="79"/>
      <c r="AA1" s="79"/>
      <c r="AB1" s="79"/>
      <c r="AC1" s="79"/>
      <c r="AD1" s="79"/>
      <c r="AE1" s="79"/>
      <c r="AF1" s="80"/>
    </row>
    <row r="2" spans="1:37">
      <c r="B2" s="81"/>
      <c r="C2"/>
      <c r="D2"/>
      <c r="E2"/>
      <c r="F2"/>
      <c r="G2"/>
      <c r="H2"/>
      <c r="I2"/>
      <c r="J2"/>
      <c r="K2"/>
      <c r="L2"/>
      <c r="M2"/>
      <c r="N2"/>
      <c r="O2"/>
      <c r="P2"/>
      <c r="Q2"/>
      <c r="R2"/>
      <c r="S2"/>
      <c r="T2"/>
      <c r="U2"/>
      <c r="V2"/>
      <c r="W2"/>
      <c r="X2"/>
      <c r="Y2"/>
      <c r="Z2"/>
      <c r="AA2"/>
      <c r="AB2"/>
      <c r="AC2"/>
      <c r="AD2"/>
      <c r="AE2"/>
      <c r="AF2" s="82"/>
    </row>
    <row r="3" spans="1:37">
      <c r="B3" s="81"/>
      <c r="C3"/>
      <c r="D3"/>
      <c r="E3"/>
      <c r="F3"/>
      <c r="G3"/>
      <c r="H3"/>
      <c r="I3"/>
      <c r="J3"/>
      <c r="K3"/>
      <c r="L3"/>
      <c r="M3"/>
      <c r="N3"/>
      <c r="O3"/>
      <c r="P3"/>
      <c r="Q3"/>
      <c r="R3"/>
      <c r="S3"/>
      <c r="T3"/>
      <c r="U3"/>
      <c r="V3"/>
      <c r="W3"/>
      <c r="X3"/>
      <c r="Y3"/>
      <c r="Z3"/>
      <c r="AA3"/>
      <c r="AB3"/>
      <c r="AC3"/>
      <c r="AD3"/>
      <c r="AE3"/>
      <c r="AF3" s="82"/>
    </row>
    <row r="4" spans="1:37" ht="27.75">
      <c r="B4" s="81"/>
      <c r="C4"/>
      <c r="D4"/>
      <c r="E4"/>
      <c r="F4"/>
      <c r="G4"/>
      <c r="H4"/>
      <c r="I4" s="156" t="s">
        <v>241</v>
      </c>
      <c r="J4"/>
      <c r="K4"/>
      <c r="L4" s="50"/>
      <c r="M4"/>
      <c r="N4"/>
      <c r="O4"/>
      <c r="P4"/>
      <c r="Q4"/>
      <c r="R4"/>
      <c r="S4"/>
      <c r="T4"/>
      <c r="U4"/>
      <c r="V4"/>
      <c r="W4"/>
      <c r="X4"/>
      <c r="Y4"/>
      <c r="Z4"/>
      <c r="AA4"/>
      <c r="AB4"/>
      <c r="AC4"/>
      <c r="AD4"/>
      <c r="AE4"/>
      <c r="AF4" s="82"/>
    </row>
    <row r="5" spans="1:37" ht="28.5" customHeight="1">
      <c r="B5" s="81"/>
      <c r="C5"/>
      <c r="D5"/>
      <c r="E5"/>
      <c r="F5"/>
      <c r="G5"/>
      <c r="H5"/>
      <c r="I5"/>
      <c r="J5"/>
      <c r="K5"/>
      <c r="L5"/>
      <c r="M5"/>
      <c r="N5"/>
      <c r="O5"/>
      <c r="P5"/>
      <c r="Q5"/>
      <c r="R5"/>
      <c r="S5"/>
      <c r="T5"/>
      <c r="U5"/>
      <c r="V5"/>
      <c r="W5"/>
      <c r="X5"/>
      <c r="Y5"/>
      <c r="Z5"/>
      <c r="AA5"/>
      <c r="AB5"/>
      <c r="AC5"/>
      <c r="AD5"/>
      <c r="AE5"/>
      <c r="AF5" s="82"/>
    </row>
    <row r="6" spans="1:37" ht="20.100000000000001" customHeight="1">
      <c r="B6" s="210" t="s">
        <v>0</v>
      </c>
      <c r="C6" s="211"/>
      <c r="D6" s="211"/>
      <c r="E6" s="211"/>
      <c r="F6" s="211"/>
      <c r="G6" s="211"/>
      <c r="H6" s="211"/>
      <c r="I6" s="211"/>
      <c r="J6" s="211"/>
      <c r="K6" s="211"/>
      <c r="L6" s="211"/>
      <c r="M6" s="211"/>
      <c r="N6" s="211"/>
      <c r="O6" s="211"/>
      <c r="P6" s="211"/>
      <c r="Q6" s="211"/>
      <c r="R6" s="211"/>
      <c r="S6" s="211"/>
      <c r="T6" s="211"/>
      <c r="U6" s="211"/>
      <c r="V6" s="211"/>
      <c r="W6" s="211"/>
      <c r="X6" s="211"/>
      <c r="Y6" s="211"/>
      <c r="Z6" s="211"/>
      <c r="AA6" s="211"/>
      <c r="AB6" s="211"/>
      <c r="AC6" s="211"/>
      <c r="AD6" s="211"/>
      <c r="AE6" s="211"/>
      <c r="AF6" s="212"/>
    </row>
    <row r="7" spans="1:37">
      <c r="B7" s="81"/>
      <c r="C7"/>
      <c r="D7"/>
      <c r="E7"/>
      <c r="F7"/>
      <c r="G7"/>
      <c r="H7"/>
      <c r="I7"/>
      <c r="J7"/>
      <c r="K7"/>
      <c r="L7"/>
      <c r="M7"/>
      <c r="N7"/>
      <c r="O7"/>
      <c r="P7"/>
      <c r="Q7"/>
      <c r="R7"/>
      <c r="S7"/>
      <c r="T7"/>
      <c r="U7"/>
      <c r="V7"/>
      <c r="W7"/>
      <c r="X7"/>
      <c r="Y7"/>
      <c r="Z7"/>
      <c r="AA7"/>
      <c r="AB7"/>
      <c r="AC7"/>
      <c r="AD7"/>
      <c r="AE7"/>
      <c r="AF7" s="82"/>
    </row>
    <row r="8" spans="1:37">
      <c r="B8" s="81"/>
      <c r="C8" s="216" t="s">
        <v>1</v>
      </c>
      <c r="D8" s="216"/>
      <c r="E8" s="218"/>
      <c r="F8" s="218"/>
      <c r="G8" s="218"/>
      <c r="H8" s="218"/>
      <c r="I8" s="51" t="s">
        <v>3</v>
      </c>
      <c r="J8" s="167"/>
      <c r="K8" t="s">
        <v>4</v>
      </c>
      <c r="L8" s="167"/>
      <c r="M8" t="s">
        <v>4</v>
      </c>
      <c r="N8" s="218"/>
      <c r="O8" s="218"/>
      <c r="P8"/>
      <c r="Q8" t="s">
        <v>6</v>
      </c>
      <c r="R8" s="218"/>
      <c r="S8" s="218"/>
      <c r="T8" s="218"/>
      <c r="U8" s="31" t="s">
        <v>4</v>
      </c>
      <c r="V8" s="218"/>
      <c r="W8" s="218"/>
      <c r="X8"/>
      <c r="Y8" s="217" t="s">
        <v>8</v>
      </c>
      <c r="Z8" s="217"/>
      <c r="AA8" s="218"/>
      <c r="AB8" s="218"/>
      <c r="AC8" s="218"/>
      <c r="AD8" s="218"/>
      <c r="AE8" s="218"/>
      <c r="AF8" s="82"/>
    </row>
    <row r="9" spans="1:37">
      <c r="B9" s="81"/>
      <c r="C9"/>
      <c r="D9"/>
      <c r="E9"/>
      <c r="F9"/>
      <c r="G9"/>
      <c r="H9"/>
      <c r="I9"/>
      <c r="J9"/>
      <c r="K9"/>
      <c r="L9"/>
      <c r="M9"/>
      <c r="N9"/>
      <c r="O9"/>
      <c r="P9"/>
      <c r="Q9"/>
      <c r="R9"/>
      <c r="S9"/>
      <c r="T9"/>
      <c r="U9"/>
      <c r="V9"/>
      <c r="W9"/>
      <c r="X9"/>
      <c r="Y9"/>
      <c r="Z9"/>
      <c r="AA9"/>
      <c r="AB9"/>
      <c r="AC9"/>
      <c r="AD9"/>
      <c r="AE9"/>
      <c r="AF9" s="82"/>
    </row>
    <row r="10" spans="1:37">
      <c r="B10" s="81"/>
      <c r="C10" s="216" t="s">
        <v>2</v>
      </c>
      <c r="D10" s="216"/>
      <c r="E10" s="218"/>
      <c r="F10" s="218"/>
      <c r="G10" s="218"/>
      <c r="H10" s="218"/>
      <c r="I10" s="216" t="s">
        <v>5</v>
      </c>
      <c r="J10" s="216"/>
      <c r="K10" s="218"/>
      <c r="L10" s="218"/>
      <c r="M10" s="218"/>
      <c r="N10" s="218"/>
      <c r="O10" s="218"/>
      <c r="P10"/>
      <c r="Q10" t="s">
        <v>7</v>
      </c>
      <c r="R10"/>
      <c r="S10" s="218"/>
      <c r="T10" s="218"/>
      <c r="U10" s="218"/>
      <c r="V10" s="218"/>
      <c r="W10" s="218"/>
      <c r="X10" s="216" t="s">
        <v>9</v>
      </c>
      <c r="Y10" s="216"/>
      <c r="Z10" s="216"/>
      <c r="AA10" s="218"/>
      <c r="AB10" s="218"/>
      <c r="AC10" s="218"/>
      <c r="AD10" s="218"/>
      <c r="AE10" s="218"/>
      <c r="AF10" s="82"/>
    </row>
    <row r="11" spans="1:37">
      <c r="B11" s="81"/>
      <c r="C11"/>
      <c r="D11"/>
      <c r="E11"/>
      <c r="F11"/>
      <c r="G11"/>
      <c r="H11"/>
      <c r="I11"/>
      <c r="J11"/>
      <c r="K11"/>
      <c r="L11"/>
      <c r="M11"/>
      <c r="N11"/>
      <c r="O11"/>
      <c r="P11"/>
      <c r="Q11"/>
      <c r="R11"/>
      <c r="S11"/>
      <c r="T11"/>
      <c r="U11"/>
      <c r="V11"/>
      <c r="W11"/>
      <c r="X11"/>
      <c r="Y11"/>
      <c r="Z11"/>
      <c r="AA11"/>
      <c r="AB11"/>
      <c r="AC11"/>
      <c r="AD11"/>
      <c r="AE11"/>
      <c r="AF11" s="82"/>
    </row>
    <row r="12" spans="1:37" ht="20.100000000000001" customHeight="1">
      <c r="B12" s="210" t="s">
        <v>17</v>
      </c>
      <c r="C12" s="211"/>
      <c r="D12" s="211"/>
      <c r="E12" s="211"/>
      <c r="F12" s="211"/>
      <c r="G12" s="211"/>
      <c r="H12" s="211"/>
      <c r="I12" s="211"/>
      <c r="J12" s="211"/>
      <c r="K12" s="211"/>
      <c r="L12" s="211"/>
      <c r="M12" s="211"/>
      <c r="N12" s="211"/>
      <c r="O12" s="211"/>
      <c r="P12" s="211"/>
      <c r="Q12" s="211"/>
      <c r="R12" s="211"/>
      <c r="S12" s="211"/>
      <c r="T12" s="211"/>
      <c r="U12" s="211"/>
      <c r="V12" s="211"/>
      <c r="W12" s="211"/>
      <c r="X12" s="211"/>
      <c r="Y12" s="211"/>
      <c r="Z12" s="211"/>
      <c r="AA12" s="211"/>
      <c r="AB12" s="211"/>
      <c r="AC12" s="211"/>
      <c r="AD12" s="211"/>
      <c r="AE12" s="211"/>
      <c r="AF12" s="212"/>
    </row>
    <row r="13" spans="1:37" ht="15.75">
      <c r="B13" s="81"/>
      <c r="C13"/>
      <c r="D13"/>
      <c r="E13"/>
      <c r="F13"/>
      <c r="G13"/>
      <c r="H13"/>
      <c r="I13"/>
      <c r="J13"/>
      <c r="K13"/>
      <c r="L13"/>
      <c r="M13"/>
      <c r="N13"/>
      <c r="O13"/>
      <c r="P13"/>
      <c r="Q13"/>
      <c r="R13"/>
      <c r="S13"/>
      <c r="T13"/>
      <c r="U13"/>
      <c r="V13"/>
      <c r="W13"/>
      <c r="X13"/>
      <c r="Y13"/>
      <c r="Z13"/>
      <c r="AA13" s="158" t="s">
        <v>240</v>
      </c>
      <c r="AB13"/>
      <c r="AC13" s="158"/>
      <c r="AD13"/>
      <c r="AE13"/>
      <c r="AF13" s="82"/>
    </row>
    <row r="14" spans="1:37" ht="30.75" customHeight="1">
      <c r="B14" s="81"/>
      <c r="C14" s="32"/>
      <c r="D14"/>
      <c r="E14"/>
      <c r="F14"/>
      <c r="G14"/>
      <c r="H14" s="33"/>
      <c r="I14" s="33"/>
      <c r="J14" s="33"/>
      <c r="K14"/>
      <c r="L14"/>
      <c r="M14"/>
      <c r="N14"/>
      <c r="O14"/>
      <c r="P14"/>
      <c r="Q14"/>
      <c r="R14"/>
      <c r="S14"/>
      <c r="T14" s="215"/>
      <c r="U14" s="215"/>
      <c r="V14"/>
      <c r="W14" s="49" t="str">
        <f>IF($AH$14="Standard","(in)","(mm)")</f>
        <v>(in)</v>
      </c>
      <c r="X14"/>
      <c r="Y14"/>
      <c r="Z14"/>
      <c r="AA14"/>
      <c r="AB14"/>
      <c r="AC14"/>
      <c r="AD14" s="157" t="s">
        <v>239</v>
      </c>
      <c r="AE14"/>
      <c r="AF14" s="82"/>
      <c r="AH14" s="54" t="s">
        <v>22</v>
      </c>
      <c r="AJ14" s="55"/>
      <c r="AK14" s="56"/>
    </row>
    <row r="15" spans="1:37" ht="10.15" customHeight="1">
      <c r="B15" s="81"/>
      <c r="C15"/>
      <c r="D15"/>
      <c r="E15"/>
      <c r="F15"/>
      <c r="G15"/>
      <c r="H15"/>
      <c r="I15"/>
      <c r="J15"/>
      <c r="K15"/>
      <c r="L15"/>
      <c r="M15"/>
      <c r="N15"/>
      <c r="O15"/>
      <c r="P15"/>
      <c r="Q15"/>
      <c r="R15"/>
      <c r="S15"/>
      <c r="T15"/>
      <c r="U15"/>
      <c r="V15"/>
      <c r="W15"/>
      <c r="X15"/>
      <c r="Y15"/>
      <c r="Z15"/>
      <c r="AA15"/>
      <c r="AB15"/>
      <c r="AC15"/>
      <c r="AD15"/>
      <c r="AE15"/>
      <c r="AF15" s="82"/>
    </row>
    <row r="16" spans="1:37" ht="30" customHeight="1">
      <c r="A16" s="52"/>
      <c r="B16" s="81"/>
      <c r="C16" s="33"/>
      <c r="D16" s="33"/>
      <c r="E16"/>
      <c r="F16" s="45">
        <v>7430</v>
      </c>
      <c r="G16" s="34" t="str">
        <f>IF($AH$14="Standard","(cf)",CONCATENATE("(m",$AJ$16,")"))</f>
        <v>(cf)</v>
      </c>
      <c r="H16"/>
      <c r="I16"/>
      <c r="J16"/>
      <c r="K16"/>
      <c r="L16" s="45">
        <v>40</v>
      </c>
      <c r="M16" s="34" t="str">
        <f>IF($AH$14="Standard","(ft)","(m)")</f>
        <v>(ft)</v>
      </c>
      <c r="N16"/>
      <c r="O16"/>
      <c r="P16"/>
      <c r="Q16" s="45">
        <v>40</v>
      </c>
      <c r="R16" s="34" t="s">
        <v>10</v>
      </c>
      <c r="S16"/>
      <c r="T16"/>
      <c r="U16"/>
      <c r="V16"/>
      <c r="W16" s="45">
        <v>0</v>
      </c>
      <c r="X16" s="34" t="str">
        <f>IF($AH$14="Standard","(ft)","(m)")</f>
        <v>(ft)</v>
      </c>
      <c r="Y16"/>
      <c r="Z16"/>
      <c r="AA16" s="45">
        <v>12</v>
      </c>
      <c r="AB16" s="34" t="str">
        <f>IF($AH$14="Standard","(ft)","(m)")</f>
        <v>(ft)</v>
      </c>
      <c r="AC16"/>
      <c r="AD16" s="45">
        <v>8</v>
      </c>
      <c r="AE16" s="34" t="str">
        <f>IF($AH$14="Standard","(ft)","(m)")</f>
        <v>(ft)</v>
      </c>
      <c r="AF16" s="82"/>
      <c r="AI16" s="57" t="s">
        <v>33</v>
      </c>
      <c r="AJ16" s="57" t="s">
        <v>32</v>
      </c>
    </row>
    <row r="17" spans="2:34" ht="10.15" customHeight="1">
      <c r="B17" s="81"/>
      <c r="C17"/>
      <c r="D17"/>
      <c r="E17"/>
      <c r="F17"/>
      <c r="G17"/>
      <c r="H17"/>
      <c r="I17"/>
      <c r="J17"/>
      <c r="K17"/>
      <c r="L17"/>
      <c r="M17"/>
      <c r="N17"/>
      <c r="O17"/>
      <c r="P17"/>
      <c r="Q17"/>
      <c r="R17"/>
      <c r="S17"/>
      <c r="T17"/>
      <c r="U17"/>
      <c r="V17"/>
      <c r="W17"/>
      <c r="X17"/>
      <c r="Y17"/>
      <c r="Z17"/>
      <c r="AA17"/>
      <c r="AB17"/>
      <c r="AC17"/>
      <c r="AD17"/>
      <c r="AE17"/>
      <c r="AF17" s="82"/>
    </row>
    <row r="18" spans="2:34" ht="30" customHeight="1">
      <c r="B18" s="81"/>
      <c r="C18" s="33"/>
      <c r="D18" s="33"/>
      <c r="E18"/>
      <c r="F18" s="45">
        <v>0</v>
      </c>
      <c r="G18" s="34" t="str">
        <f>IF($AH$14="Standard","(in)","(mm)")</f>
        <v>(in)</v>
      </c>
      <c r="H18"/>
      <c r="I18"/>
      <c r="J18"/>
      <c r="K18"/>
      <c r="L18" s="45">
        <v>0</v>
      </c>
      <c r="M18" s="34" t="str">
        <f>IF($AH$14="Standard","(in)","(mm)")</f>
        <v>(in)</v>
      </c>
      <c r="N18"/>
      <c r="O18"/>
      <c r="P18"/>
      <c r="Q18" s="45">
        <v>0</v>
      </c>
      <c r="R18" s="34" t="str">
        <f>IF($AH$14="Standard","(in)","(mm)")</f>
        <v>(in)</v>
      </c>
      <c r="S18"/>
      <c r="T18"/>
      <c r="U18"/>
      <c r="V18"/>
      <c r="W18" s="45">
        <v>0</v>
      </c>
      <c r="X18" s="34" t="str">
        <f>IF($AH$14="Standard","(in)","(mm)")</f>
        <v>(in)</v>
      </c>
      <c r="Y18"/>
      <c r="Z18"/>
      <c r="AA18"/>
      <c r="AB18"/>
      <c r="AC18"/>
      <c r="AD18"/>
      <c r="AE18"/>
      <c r="AF18" s="82"/>
    </row>
    <row r="19" spans="2:34" ht="26.25" customHeight="1">
      <c r="B19" s="81"/>
      <c r="C19"/>
      <c r="D19"/>
      <c r="E19"/>
      <c r="F19"/>
      <c r="G19"/>
      <c r="H19"/>
      <c r="I19"/>
      <c r="J19"/>
      <c r="K19"/>
      <c r="L19"/>
      <c r="M19"/>
      <c r="N19"/>
      <c r="O19"/>
      <c r="P19"/>
      <c r="Q19"/>
      <c r="R19"/>
      <c r="S19"/>
      <c r="T19"/>
      <c r="U19"/>
      <c r="V19"/>
      <c r="W19"/>
      <c r="X19"/>
      <c r="Y19"/>
      <c r="Z19"/>
      <c r="AA19"/>
      <c r="AB19"/>
      <c r="AC19"/>
      <c r="AD19"/>
      <c r="AE19"/>
      <c r="AF19" s="82"/>
    </row>
    <row r="20" spans="2:34" ht="20.100000000000001" customHeight="1">
      <c r="B20" s="210" t="s">
        <v>11</v>
      </c>
      <c r="C20" s="211"/>
      <c r="D20" s="211"/>
      <c r="E20" s="211"/>
      <c r="F20" s="211"/>
      <c r="G20" s="211"/>
      <c r="H20" s="211"/>
      <c r="I20" s="211"/>
      <c r="J20" s="211"/>
      <c r="K20" s="211"/>
      <c r="L20" s="211"/>
      <c r="M20" s="211"/>
      <c r="N20" s="211"/>
      <c r="O20" s="211"/>
      <c r="P20" s="211"/>
      <c r="Q20" s="211"/>
      <c r="R20" s="211"/>
      <c r="S20" s="211"/>
      <c r="T20" s="211"/>
      <c r="U20" s="211"/>
      <c r="V20" s="211"/>
      <c r="W20" s="211"/>
      <c r="X20" s="211"/>
      <c r="Y20" s="211"/>
      <c r="Z20" s="211"/>
      <c r="AA20" s="211"/>
      <c r="AB20" s="211"/>
      <c r="AC20" s="211"/>
      <c r="AD20" s="211"/>
      <c r="AE20" s="211"/>
      <c r="AF20" s="212"/>
    </row>
    <row r="21" spans="2:34">
      <c r="B21" s="81"/>
      <c r="C21"/>
      <c r="D21"/>
      <c r="E21"/>
      <c r="F21" s="31"/>
      <c r="G21" s="35"/>
      <c r="H21"/>
      <c r="I21"/>
      <c r="J21"/>
      <c r="K21"/>
      <c r="L21"/>
      <c r="M21"/>
      <c r="N21"/>
      <c r="O21"/>
      <c r="P21"/>
      <c r="Q21"/>
      <c r="R21"/>
      <c r="S21"/>
      <c r="T21"/>
      <c r="U21"/>
      <c r="V21"/>
      <c r="W21"/>
      <c r="X21"/>
      <c r="Y21"/>
      <c r="Z21"/>
      <c r="AA21"/>
      <c r="AB21"/>
      <c r="AC21"/>
      <c r="AD21"/>
      <c r="AE21"/>
      <c r="AF21" s="82"/>
    </row>
    <row r="22" spans="2:34">
      <c r="B22" s="81"/>
      <c r="C22"/>
      <c r="D22"/>
      <c r="E22"/>
      <c r="F22" s="36"/>
      <c r="G22"/>
      <c r="H22"/>
      <c r="I22"/>
      <c r="J22"/>
      <c r="K22"/>
      <c r="L22"/>
      <c r="M22"/>
      <c r="N22"/>
      <c r="O22"/>
      <c r="P22" s="36"/>
      <c r="Q22"/>
      <c r="R22"/>
      <c r="S22" s="36"/>
      <c r="T22" s="36"/>
      <c r="U22"/>
      <c r="V22"/>
      <c r="W22"/>
      <c r="X22"/>
      <c r="Y22"/>
      <c r="Z22"/>
      <c r="AA22"/>
      <c r="AB22"/>
      <c r="AC22"/>
      <c r="AD22"/>
      <c r="AE22"/>
      <c r="AF22" s="82"/>
    </row>
    <row r="23" spans="2:34">
      <c r="B23" s="81"/>
      <c r="C23"/>
      <c r="D23"/>
      <c r="E23"/>
      <c r="F23"/>
      <c r="G23"/>
      <c r="H23"/>
      <c r="I23"/>
      <c r="J23" s="37"/>
      <c r="K23"/>
      <c r="L23"/>
      <c r="M23"/>
      <c r="N23"/>
      <c r="O23"/>
      <c r="P23" s="36"/>
      <c r="Q23"/>
      <c r="R23"/>
      <c r="S23" s="36"/>
      <c r="T23" s="36"/>
      <c r="U23"/>
      <c r="V23"/>
      <c r="W23"/>
      <c r="X23"/>
      <c r="Y23"/>
      <c r="Z23"/>
      <c r="AA23"/>
      <c r="AB23"/>
      <c r="AC23"/>
      <c r="AD23"/>
      <c r="AE23"/>
      <c r="AF23" s="82"/>
    </row>
    <row r="24" spans="2:34">
      <c r="B24" s="81"/>
      <c r="C24"/>
      <c r="D24"/>
      <c r="E24"/>
      <c r="F24"/>
      <c r="G24"/>
      <c r="H24"/>
      <c r="I24"/>
      <c r="J24"/>
      <c r="K24"/>
      <c r="L24" s="36"/>
      <c r="M24"/>
      <c r="N24"/>
      <c r="O24"/>
      <c r="P24" s="36"/>
      <c r="Q24"/>
      <c r="R24"/>
      <c r="S24" s="36"/>
      <c r="T24" s="36"/>
      <c r="U24"/>
      <c r="V24"/>
      <c r="W24"/>
      <c r="X24"/>
      <c r="Y24"/>
      <c r="Z24"/>
      <c r="AA24"/>
      <c r="AB24"/>
      <c r="AC24"/>
      <c r="AD24"/>
      <c r="AE24"/>
      <c r="AF24" s="82"/>
    </row>
    <row r="25" spans="2:34">
      <c r="B25" s="81"/>
      <c r="C25"/>
      <c r="D25"/>
      <c r="E25"/>
      <c r="F25"/>
      <c r="G25"/>
      <c r="H25"/>
      <c r="I25"/>
      <c r="J25"/>
      <c r="K25"/>
      <c r="L25" s="36"/>
      <c r="M25"/>
      <c r="N25"/>
      <c r="O25"/>
      <c r="P25" s="36"/>
      <c r="Q25"/>
      <c r="R25"/>
      <c r="S25" s="36"/>
      <c r="T25" s="36"/>
      <c r="U25"/>
      <c r="V25"/>
      <c r="W25"/>
      <c r="X25"/>
      <c r="Y25"/>
      <c r="Z25"/>
      <c r="AA25"/>
      <c r="AB25"/>
      <c r="AC25"/>
      <c r="AD25"/>
      <c r="AE25"/>
      <c r="AF25" s="82"/>
    </row>
    <row r="26" spans="2:34">
      <c r="B26" s="81"/>
      <c r="C26"/>
      <c r="D26"/>
      <c r="E26"/>
      <c r="F26"/>
      <c r="G26"/>
      <c r="H26"/>
      <c r="I26"/>
      <c r="J26"/>
      <c r="K26"/>
      <c r="L26" s="36"/>
      <c r="M26"/>
      <c r="N26"/>
      <c r="O26"/>
      <c r="P26" s="36"/>
      <c r="Q26"/>
      <c r="R26"/>
      <c r="S26" s="36"/>
      <c r="T26" s="36"/>
      <c r="U26"/>
      <c r="V26"/>
      <c r="W26"/>
      <c r="X26"/>
      <c r="Y26"/>
      <c r="Z26"/>
      <c r="AA26"/>
      <c r="AB26"/>
      <c r="AC26"/>
      <c r="AD26"/>
      <c r="AE26"/>
      <c r="AF26" s="82"/>
    </row>
    <row r="27" spans="2:34">
      <c r="B27" s="81"/>
      <c r="C27"/>
      <c r="D27"/>
      <c r="E27"/>
      <c r="F27"/>
      <c r="G27"/>
      <c r="H27"/>
      <c r="I27"/>
      <c r="J27"/>
      <c r="K27"/>
      <c r="L27"/>
      <c r="M27"/>
      <c r="N27"/>
      <c r="O27"/>
      <c r="P27" s="36"/>
      <c r="Q27"/>
      <c r="R27"/>
      <c r="S27" s="36"/>
      <c r="T27" s="36"/>
      <c r="U27"/>
      <c r="V27"/>
      <c r="W27"/>
      <c r="X27"/>
      <c r="Y27"/>
      <c r="Z27"/>
      <c r="AA27"/>
      <c r="AB27"/>
      <c r="AC27"/>
      <c r="AD27"/>
      <c r="AE27"/>
      <c r="AF27" s="82"/>
    </row>
    <row r="28" spans="2:34">
      <c r="B28" s="81"/>
      <c r="C28"/>
      <c r="D28"/>
      <c r="E28"/>
      <c r="F28"/>
      <c r="G28"/>
      <c r="H28"/>
      <c r="I28"/>
      <c r="J28"/>
      <c r="K28"/>
      <c r="L28" s="36"/>
      <c r="M28"/>
      <c r="N28"/>
      <c r="O28"/>
      <c r="P28" s="36"/>
      <c r="Q28"/>
      <c r="R28"/>
      <c r="S28" s="36"/>
      <c r="T28" s="36"/>
      <c r="U28"/>
      <c r="V28"/>
      <c r="W28"/>
      <c r="X28"/>
      <c r="Y28"/>
      <c r="Z28"/>
      <c r="AA28"/>
      <c r="AB28"/>
      <c r="AC28"/>
      <c r="AD28"/>
      <c r="AE28"/>
      <c r="AF28" s="82"/>
      <c r="AH28" s="53">
        <v>1</v>
      </c>
    </row>
    <row r="29" spans="2:34">
      <c r="B29" s="81"/>
      <c r="C29"/>
      <c r="D29"/>
      <c r="E29"/>
      <c r="F29"/>
      <c r="G29"/>
      <c r="H29"/>
      <c r="I29"/>
      <c r="J29"/>
      <c r="K29"/>
      <c r="L29"/>
      <c r="M29"/>
      <c r="N29"/>
      <c r="O29"/>
      <c r="P29"/>
      <c r="Q29"/>
      <c r="R29"/>
      <c r="S29"/>
      <c r="T29"/>
      <c r="U29"/>
      <c r="V29"/>
      <c r="W29"/>
      <c r="X29"/>
      <c r="Y29"/>
      <c r="Z29"/>
      <c r="AA29"/>
      <c r="AB29"/>
      <c r="AC29"/>
      <c r="AD29"/>
      <c r="AE29"/>
      <c r="AF29" s="82"/>
      <c r="AH29" s="53">
        <v>0</v>
      </c>
    </row>
    <row r="30" spans="2:34">
      <c r="B30" s="81"/>
      <c r="C30"/>
      <c r="D30"/>
      <c r="E30"/>
      <c r="F30"/>
      <c r="G30"/>
      <c r="H30"/>
      <c r="I30"/>
      <c r="J30"/>
      <c r="K30"/>
      <c r="L30" s="36"/>
      <c r="M30"/>
      <c r="N30" s="38"/>
      <c r="O30" s="38"/>
      <c r="P30"/>
      <c r="Q30"/>
      <c r="R30"/>
      <c r="S30"/>
      <c r="T30"/>
      <c r="U30"/>
      <c r="V30"/>
      <c r="W30"/>
      <c r="X30"/>
      <c r="Y30"/>
      <c r="Z30"/>
      <c r="AA30"/>
      <c r="AB30"/>
      <c r="AC30"/>
      <c r="AD30"/>
      <c r="AE30"/>
      <c r="AF30" s="82"/>
      <c r="AH30" s="53">
        <v>0</v>
      </c>
    </row>
    <row r="31" spans="2:34">
      <c r="B31" s="81"/>
      <c r="C31"/>
      <c r="D31"/>
      <c r="E31"/>
      <c r="F31"/>
      <c r="G31"/>
      <c r="H31"/>
      <c r="I31"/>
      <c r="J31"/>
      <c r="K31"/>
      <c r="L31" s="36"/>
      <c r="M31"/>
      <c r="N31"/>
      <c r="O31"/>
      <c r="P31"/>
      <c r="Q31"/>
      <c r="R31"/>
      <c r="S31"/>
      <c r="T31"/>
      <c r="U31"/>
      <c r="V31"/>
      <c r="W31"/>
      <c r="X31"/>
      <c r="Y31"/>
      <c r="Z31"/>
      <c r="AA31"/>
      <c r="AB31"/>
      <c r="AC31"/>
      <c r="AD31"/>
      <c r="AE31"/>
      <c r="AF31" s="82"/>
      <c r="AH31" s="53">
        <v>0</v>
      </c>
    </row>
    <row r="32" spans="2:34">
      <c r="B32" s="81"/>
      <c r="C32"/>
      <c r="D32"/>
      <c r="E32"/>
      <c r="F32"/>
      <c r="G32"/>
      <c r="H32"/>
      <c r="I32"/>
      <c r="J32"/>
      <c r="K32"/>
      <c r="L32" s="36"/>
      <c r="M32"/>
      <c r="N32" s="36"/>
      <c r="O32"/>
      <c r="P32"/>
      <c r="Q32"/>
      <c r="R32"/>
      <c r="S32"/>
      <c r="T32"/>
      <c r="U32"/>
      <c r="V32"/>
      <c r="W32"/>
      <c r="X32"/>
      <c r="Y32"/>
      <c r="Z32"/>
      <c r="AA32"/>
      <c r="AB32"/>
      <c r="AC32"/>
      <c r="AD32"/>
      <c r="AE32"/>
      <c r="AF32" s="82"/>
      <c r="AH32" s="53" t="s">
        <v>24</v>
      </c>
    </row>
    <row r="33" spans="2:44">
      <c r="B33" s="81"/>
      <c r="C33"/>
      <c r="D33"/>
      <c r="E33"/>
      <c r="F33"/>
      <c r="G33"/>
      <c r="H33"/>
      <c r="I33"/>
      <c r="J33"/>
      <c r="K33"/>
      <c r="L33" s="36"/>
      <c r="M33"/>
      <c r="N33"/>
      <c r="O33"/>
      <c r="P33"/>
      <c r="Q33"/>
      <c r="R33"/>
      <c r="S33"/>
      <c r="T33"/>
      <c r="U33"/>
      <c r="V33"/>
      <c r="W33"/>
      <c r="X33"/>
      <c r="Y33"/>
      <c r="Z33"/>
      <c r="AA33"/>
      <c r="AB33"/>
      <c r="AC33"/>
      <c r="AD33"/>
      <c r="AE33"/>
      <c r="AF33" s="82"/>
      <c r="AH33" s="53" t="s">
        <v>28</v>
      </c>
      <c r="AI33" s="53" t="s">
        <v>29</v>
      </c>
      <c r="AJ33" s="53" t="s">
        <v>30</v>
      </c>
    </row>
    <row r="34" spans="2:44">
      <c r="B34" s="81"/>
      <c r="C34"/>
      <c r="D34"/>
      <c r="E34"/>
      <c r="F34"/>
      <c r="G34"/>
      <c r="H34"/>
      <c r="I34"/>
      <c r="J34"/>
      <c r="K34"/>
      <c r="L34"/>
      <c r="M34"/>
      <c r="N34"/>
      <c r="O34"/>
      <c r="P34"/>
      <c r="Q34"/>
      <c r="R34"/>
      <c r="S34"/>
      <c r="T34"/>
      <c r="U34"/>
      <c r="V34"/>
      <c r="W34"/>
      <c r="X34"/>
      <c r="Y34"/>
      <c r="Z34"/>
      <c r="AA34"/>
      <c r="AB34"/>
      <c r="AC34"/>
      <c r="AD34"/>
      <c r="AE34"/>
      <c r="AF34" s="82"/>
      <c r="AH34" s="58">
        <v>4312.3388671875</v>
      </c>
      <c r="AI34" s="58">
        <v>10</v>
      </c>
      <c r="AJ34" s="58">
        <v>1</v>
      </c>
      <c r="AK34" s="53" t="s">
        <v>23</v>
      </c>
    </row>
    <row r="35" spans="2:44">
      <c r="B35" s="81"/>
      <c r="C35"/>
      <c r="D35"/>
      <c r="E35"/>
      <c r="F35"/>
      <c r="G35"/>
      <c r="H35"/>
      <c r="I35"/>
      <c r="J35"/>
      <c r="K35"/>
      <c r="L35"/>
      <c r="M35"/>
      <c r="N35"/>
      <c r="O35"/>
      <c r="P35"/>
      <c r="Q35"/>
      <c r="R35"/>
      <c r="S35"/>
      <c r="T35"/>
      <c r="U35"/>
      <c r="V35"/>
      <c r="W35"/>
      <c r="X35"/>
      <c r="Y35"/>
      <c r="Z35"/>
      <c r="AA35"/>
      <c r="AB35"/>
      <c r="AC35"/>
      <c r="AD35"/>
      <c r="AE35"/>
      <c r="AF35" s="82"/>
      <c r="AH35" s="58"/>
      <c r="AI35" s="58"/>
      <c r="AJ35" s="58"/>
      <c r="AQ35" s="110">
        <v>225.25</v>
      </c>
      <c r="AR35" s="109" t="s">
        <v>201</v>
      </c>
    </row>
    <row r="36" spans="2:44">
      <c r="B36" s="81"/>
      <c r="C36"/>
      <c r="D36"/>
      <c r="E36"/>
      <c r="F36"/>
      <c r="G36"/>
      <c r="H36"/>
      <c r="I36"/>
      <c r="J36"/>
      <c r="K36"/>
      <c r="L36"/>
      <c r="M36"/>
      <c r="N36"/>
      <c r="O36"/>
      <c r="P36"/>
      <c r="Q36"/>
      <c r="R36"/>
      <c r="S36"/>
      <c r="T36"/>
      <c r="U36"/>
      <c r="V36"/>
      <c r="W36"/>
      <c r="X36"/>
      <c r="Y36"/>
      <c r="Z36"/>
      <c r="AA36"/>
      <c r="AB36"/>
      <c r="AC36"/>
      <c r="AD36"/>
      <c r="AE36"/>
      <c r="AF36" s="82"/>
      <c r="AH36" s="58"/>
      <c r="AI36" s="58"/>
      <c r="AJ36" s="58"/>
      <c r="AK36" s="53" t="s">
        <v>25</v>
      </c>
      <c r="AQ36" s="110">
        <v>74.5</v>
      </c>
      <c r="AR36" s="109" t="s">
        <v>202</v>
      </c>
    </row>
    <row r="37" spans="2:44">
      <c r="B37" s="81"/>
      <c r="C37"/>
      <c r="D37"/>
      <c r="E37"/>
      <c r="F37"/>
      <c r="G37"/>
      <c r="H37"/>
      <c r="I37"/>
      <c r="J37"/>
      <c r="K37"/>
      <c r="L37"/>
      <c r="M37"/>
      <c r="N37"/>
      <c r="O37"/>
      <c r="P37"/>
      <c r="Q37"/>
      <c r="R37"/>
      <c r="S37"/>
      <c r="T37"/>
      <c r="U37"/>
      <c r="V37"/>
      <c r="W37"/>
      <c r="X37"/>
      <c r="Y37"/>
      <c r="Z37"/>
      <c r="AA37"/>
      <c r="AB37"/>
      <c r="AC37"/>
      <c r="AD37"/>
      <c r="AE37"/>
      <c r="AF37" s="82"/>
      <c r="AH37" s="58"/>
      <c r="AI37" s="58"/>
      <c r="AJ37" s="58"/>
      <c r="AQ37" s="110">
        <v>34.75</v>
      </c>
      <c r="AR37" s="109" t="s">
        <v>203</v>
      </c>
    </row>
    <row r="38" spans="2:44">
      <c r="B38" s="81"/>
      <c r="C38"/>
      <c r="D38"/>
      <c r="E38"/>
      <c r="F38"/>
      <c r="G38"/>
      <c r="H38"/>
      <c r="I38"/>
      <c r="J38"/>
      <c r="K38"/>
      <c r="L38"/>
      <c r="M38"/>
      <c r="N38"/>
      <c r="O38"/>
      <c r="P38"/>
      <c r="Q38"/>
      <c r="R38"/>
      <c r="S38"/>
      <c r="T38"/>
      <c r="U38"/>
      <c r="V38"/>
      <c r="W38"/>
      <c r="X38"/>
      <c r="Y38"/>
      <c r="Z38"/>
      <c r="AA38"/>
      <c r="AB38"/>
      <c r="AC38"/>
      <c r="AD38"/>
      <c r="AE38"/>
      <c r="AF38" s="82"/>
      <c r="AH38" s="58">
        <v>20775.32421875</v>
      </c>
      <c r="AI38" s="58">
        <v>10</v>
      </c>
      <c r="AJ38" s="58">
        <v>10</v>
      </c>
      <c r="AK38" s="53" t="s">
        <v>26</v>
      </c>
      <c r="AQ38" s="110">
        <v>67.425003051757813</v>
      </c>
      <c r="AR38" s="109" t="s">
        <v>204</v>
      </c>
    </row>
    <row r="39" spans="2:44">
      <c r="B39" s="81"/>
      <c r="C39"/>
      <c r="D39"/>
      <c r="E39"/>
      <c r="F39"/>
      <c r="G39"/>
      <c r="H39"/>
      <c r="I39"/>
      <c r="J39"/>
      <c r="K39"/>
      <c r="L39"/>
      <c r="M39"/>
      <c r="N39"/>
      <c r="O39"/>
      <c r="P39"/>
      <c r="Q39"/>
      <c r="R39"/>
      <c r="S39"/>
      <c r="T39"/>
      <c r="U39"/>
      <c r="V39"/>
      <c r="W39"/>
      <c r="X39"/>
      <c r="Y39"/>
      <c r="Z39"/>
      <c r="AA39"/>
      <c r="AB39"/>
      <c r="AC39"/>
      <c r="AD39"/>
      <c r="AE39"/>
      <c r="AF39" s="82"/>
      <c r="AH39" s="58"/>
      <c r="AI39" s="58"/>
      <c r="AJ39" s="58"/>
      <c r="AQ39" s="110">
        <v>26</v>
      </c>
      <c r="AR39" s="109" t="s">
        <v>205</v>
      </c>
    </row>
    <row r="40" spans="2:44">
      <c r="B40" s="81"/>
      <c r="C40"/>
      <c r="D40"/>
      <c r="E40"/>
      <c r="F40"/>
      <c r="G40"/>
      <c r="H40"/>
      <c r="I40"/>
      <c r="J40"/>
      <c r="K40"/>
      <c r="L40"/>
      <c r="M40"/>
      <c r="N40"/>
      <c r="O40"/>
      <c r="P40"/>
      <c r="Q40"/>
      <c r="R40"/>
      <c r="S40"/>
      <c r="T40"/>
      <c r="U40"/>
      <c r="V40"/>
      <c r="W40"/>
      <c r="X40"/>
      <c r="Y40"/>
      <c r="Z40"/>
      <c r="AA40"/>
      <c r="AB40"/>
      <c r="AC40"/>
      <c r="AD40"/>
      <c r="AE40"/>
      <c r="AF40" s="82"/>
      <c r="AH40" s="58">
        <v>20052.04296875</v>
      </c>
      <c r="AI40" s="58">
        <v>10</v>
      </c>
      <c r="AJ40" s="58">
        <v>10</v>
      </c>
      <c r="AK40" s="53" t="s">
        <v>27</v>
      </c>
      <c r="AQ40" s="110">
        <v>10.82500171661377</v>
      </c>
      <c r="AR40" s="109" t="s">
        <v>206</v>
      </c>
    </row>
    <row r="41" spans="2:44">
      <c r="B41" s="81"/>
      <c r="C41"/>
      <c r="D41"/>
      <c r="E41"/>
      <c r="F41"/>
      <c r="G41"/>
      <c r="H41"/>
      <c r="I41"/>
      <c r="J41" s="46"/>
      <c r="K41"/>
      <c r="L41" s="46"/>
      <c r="M41"/>
      <c r="N41"/>
      <c r="O41"/>
      <c r="P41"/>
      <c r="Q41"/>
      <c r="R41"/>
      <c r="S41"/>
      <c r="T41"/>
      <c r="U41"/>
      <c r="V41"/>
      <c r="W41"/>
      <c r="X41"/>
      <c r="Y41"/>
      <c r="Z41"/>
      <c r="AA41"/>
      <c r="AB41"/>
      <c r="AC41"/>
      <c r="AD41"/>
      <c r="AE41"/>
      <c r="AF41" s="82"/>
      <c r="AQ41" s="110">
        <v>11.75</v>
      </c>
      <c r="AR41" s="109" t="s">
        <v>207</v>
      </c>
    </row>
    <row r="42" spans="2:44" ht="28.15" customHeight="1">
      <c r="B42" s="81"/>
      <c r="C42" s="39" t="s">
        <v>18</v>
      </c>
      <c r="D42"/>
      <c r="E42"/>
      <c r="F42" s="42" t="s">
        <v>274</v>
      </c>
      <c r="G42" s="41" t="s">
        <v>20</v>
      </c>
      <c r="H42" s="41"/>
      <c r="I42" s="41"/>
      <c r="J42" s="41"/>
      <c r="K42" s="41"/>
      <c r="L42" s="41"/>
      <c r="M42" s="41"/>
      <c r="N42" s="41"/>
      <c r="O42"/>
      <c r="P42"/>
      <c r="Q42"/>
      <c r="R42"/>
      <c r="S42"/>
      <c r="T42"/>
      <c r="U42"/>
      <c r="V42"/>
      <c r="W42"/>
      <c r="X42"/>
      <c r="Y42"/>
      <c r="Z42"/>
      <c r="AA42"/>
      <c r="AB42"/>
      <c r="AC42"/>
      <c r="AD42"/>
      <c r="AE42"/>
      <c r="AF42" s="82"/>
      <c r="AJ42" s="58">
        <v>4</v>
      </c>
      <c r="AK42" s="53" t="s">
        <v>31</v>
      </c>
      <c r="AQ42" s="110">
        <v>2420.84375</v>
      </c>
      <c r="AR42" s="109" t="s">
        <v>208</v>
      </c>
    </row>
    <row r="43" spans="2:44" ht="9" customHeight="1">
      <c r="B43" s="81"/>
      <c r="C43"/>
      <c r="D43"/>
      <c r="E43"/>
      <c r="F43"/>
      <c r="G43"/>
      <c r="H43"/>
      <c r="I43"/>
      <c r="J43"/>
      <c r="K43"/>
      <c r="L43"/>
      <c r="M43"/>
      <c r="N43"/>
      <c r="O43"/>
      <c r="P43"/>
      <c r="Q43"/>
      <c r="R43"/>
      <c r="S43"/>
      <c r="T43"/>
      <c r="U43"/>
      <c r="V43"/>
      <c r="W43"/>
      <c r="X43"/>
      <c r="Y43"/>
      <c r="Z43"/>
      <c r="AA43"/>
      <c r="AB43"/>
      <c r="AC43"/>
      <c r="AD43"/>
      <c r="AE43"/>
      <c r="AF43" s="82"/>
      <c r="AQ43" s="110"/>
      <c r="AR43" s="110"/>
    </row>
    <row r="44" spans="2:44" ht="24.6" customHeight="1">
      <c r="B44" s="81"/>
      <c r="C44" s="39" t="s">
        <v>19</v>
      </c>
      <c r="D44"/>
      <c r="E44"/>
      <c r="F44" s="29" t="s">
        <v>275</v>
      </c>
      <c r="G44" s="220" t="s">
        <v>21</v>
      </c>
      <c r="H44" s="220"/>
      <c r="I44" s="220"/>
      <c r="J44" s="220"/>
      <c r="K44" s="220"/>
      <c r="L44" s="220"/>
      <c r="M44" s="220"/>
      <c r="N44" s="220"/>
      <c r="O44" s="220"/>
      <c r="P44"/>
      <c r="Q44"/>
      <c r="R44"/>
      <c r="S44"/>
      <c r="T44"/>
      <c r="U44"/>
      <c r="V44"/>
      <c r="W44"/>
      <c r="X44"/>
      <c r="Y44"/>
      <c r="Z44"/>
      <c r="AA44"/>
      <c r="AB44"/>
      <c r="AC44"/>
      <c r="AD44"/>
      <c r="AE44"/>
      <c r="AF44" s="82"/>
      <c r="AQ44" s="110">
        <f>((AQ49*AQ35))</f>
        <v>782.74372851848602</v>
      </c>
      <c r="AR44" s="110" t="s">
        <v>215</v>
      </c>
    </row>
    <row r="45" spans="2:44">
      <c r="B45" s="81"/>
      <c r="C45"/>
      <c r="D45"/>
      <c r="E45"/>
      <c r="F45"/>
      <c r="G45"/>
      <c r="H45"/>
      <c r="I45"/>
      <c r="J45"/>
      <c r="K45"/>
      <c r="L45"/>
      <c r="M45"/>
      <c r="N45"/>
      <c r="O45"/>
      <c r="P45"/>
      <c r="Q45" s="36"/>
      <c r="R45"/>
      <c r="S45"/>
      <c r="T45"/>
      <c r="U45"/>
      <c r="V45"/>
      <c r="W45"/>
      <c r="X45"/>
      <c r="Y45"/>
      <c r="Z45"/>
      <c r="AA45"/>
      <c r="AB45"/>
      <c r="AC45"/>
      <c r="AD45"/>
      <c r="AE45"/>
      <c r="AF45" s="82"/>
      <c r="AQ45" s="110"/>
      <c r="AR45" s="110"/>
    </row>
    <row r="46" spans="2:44" ht="19.5" customHeight="1">
      <c r="B46" s="210" t="s">
        <v>12</v>
      </c>
      <c r="C46" s="211"/>
      <c r="D46" s="211"/>
      <c r="E46" s="211"/>
      <c r="F46" s="211"/>
      <c r="G46" s="211"/>
      <c r="H46" s="211"/>
      <c r="I46" s="211"/>
      <c r="J46" s="211"/>
      <c r="K46" s="211"/>
      <c r="L46" s="211"/>
      <c r="M46" s="211"/>
      <c r="N46" s="211"/>
      <c r="O46" s="211"/>
      <c r="P46" s="211"/>
      <c r="Q46" s="211"/>
      <c r="R46" s="211"/>
      <c r="S46" s="211"/>
      <c r="T46" s="211"/>
      <c r="U46" s="211"/>
      <c r="V46" s="211"/>
      <c r="W46" s="211"/>
      <c r="X46" s="211"/>
      <c r="Y46" s="211"/>
      <c r="Z46" s="211"/>
      <c r="AA46" s="211"/>
      <c r="AB46" s="211"/>
      <c r="AC46" s="211"/>
      <c r="AD46" s="211"/>
      <c r="AE46" s="211"/>
      <c r="AF46" s="212"/>
      <c r="AQ46" s="110">
        <v>74.5</v>
      </c>
      <c r="AR46" s="110" t="s">
        <v>209</v>
      </c>
    </row>
    <row r="47" spans="2:44" ht="23.25" customHeight="1">
      <c r="B47" s="81"/>
      <c r="C47"/>
      <c r="D47"/>
      <c r="E47"/>
      <c r="F47"/>
      <c r="G47"/>
      <c r="H47"/>
      <c r="I47"/>
      <c r="J47"/>
      <c r="K47"/>
      <c r="L47"/>
      <c r="M47"/>
      <c r="N47"/>
      <c r="O47"/>
      <c r="P47"/>
      <c r="Q47"/>
      <c r="R47"/>
      <c r="S47"/>
      <c r="T47"/>
      <c r="U47"/>
      <c r="V47"/>
      <c r="W47"/>
      <c r="X47"/>
      <c r="Y47"/>
      <c r="Z47"/>
      <c r="AA47"/>
      <c r="AB47"/>
      <c r="AC47"/>
      <c r="AD47"/>
      <c r="AE47"/>
      <c r="AF47" s="82"/>
      <c r="AQ47" s="110">
        <v>0</v>
      </c>
      <c r="AR47" s="110" t="s">
        <v>210</v>
      </c>
    </row>
    <row r="48" spans="2:44">
      <c r="B48" s="81"/>
      <c r="C48"/>
      <c r="D48"/>
      <c r="E48"/>
      <c r="F48"/>
      <c r="G48"/>
      <c r="H48"/>
      <c r="I48"/>
      <c r="J48"/>
      <c r="K48"/>
      <c r="L48"/>
      <c r="M48"/>
      <c r="N48"/>
      <c r="O48"/>
      <c r="P48"/>
      <c r="Q48"/>
      <c r="R48"/>
      <c r="S48"/>
      <c r="T48"/>
      <c r="U48"/>
      <c r="V48"/>
      <c r="W48"/>
      <c r="X48"/>
      <c r="Y48"/>
      <c r="Z48"/>
      <c r="AA48"/>
      <c r="AB48"/>
      <c r="AC48"/>
      <c r="AD48"/>
      <c r="AE48"/>
      <c r="AF48" s="82"/>
      <c r="AQ48" s="110">
        <v>7</v>
      </c>
      <c r="AR48" s="110" t="s">
        <v>29</v>
      </c>
    </row>
    <row r="49" spans="2:44" ht="24" customHeight="1">
      <c r="B49" s="81"/>
      <c r="C49" s="86">
        <v>2</v>
      </c>
      <c r="D49" s="40" t="s">
        <v>13</v>
      </c>
      <c r="E49" s="86">
        <v>9</v>
      </c>
      <c r="F49" s="40" t="s">
        <v>14</v>
      </c>
      <c r="G49" s="86">
        <v>2</v>
      </c>
      <c r="H49" s="40" t="s">
        <v>13</v>
      </c>
      <c r="I49" s="86">
        <v>8</v>
      </c>
      <c r="J49"/>
      <c r="K49"/>
      <c r="L49"/>
      <c r="M49" s="213">
        <v>1947.679931640625</v>
      </c>
      <c r="N49" s="213"/>
      <c r="O49" s="34" t="str">
        <f>IF($AH$14="Standard","(sf)",CONCATENATE("(m",$AI$16,")"))</f>
        <v>(sf)</v>
      </c>
      <c r="P49"/>
      <c r="Q49" s="85">
        <v>3276.851318359375</v>
      </c>
      <c r="R49" s="34" t="str">
        <f>IF($AH$14="Standard","(cf)",CONCATENATE("(m",$AJ$16,")"))</f>
        <v>(cf)</v>
      </c>
      <c r="S49"/>
      <c r="T49"/>
      <c r="U49" s="213">
        <v>279.97451782226563</v>
      </c>
      <c r="V49" s="214"/>
      <c r="W49" s="34" t="str">
        <f>IF($AH$14="Standard","(cf)",CONCATENATE("(m",$AJ$16,")"))</f>
        <v>(cf)</v>
      </c>
      <c r="X49"/>
      <c r="Y49" s="85">
        <v>4045.579833984375</v>
      </c>
      <c r="Z49" s="34" t="str">
        <f>IF($AH$14="Standard","(cf)",CONCATENATE("(m",$AJ$16,")"))</f>
        <v>(cf)</v>
      </c>
      <c r="AA49"/>
      <c r="AB49"/>
      <c r="AC49" s="85">
        <v>7602.40576171875</v>
      </c>
      <c r="AD49" s="34" t="str">
        <f>IF($AH$14="Standard","(cf)",CONCATENATE("(m",$AJ$16,")"))</f>
        <v>(cf)</v>
      </c>
      <c r="AE49"/>
      <c r="AF49" s="82"/>
      <c r="AQ49" s="110">
        <v>3.4749999046325684</v>
      </c>
      <c r="AR49" s="110" t="s">
        <v>216</v>
      </c>
    </row>
    <row r="50" spans="2:44">
      <c r="B50" s="81"/>
      <c r="C50" s="31" t="s">
        <v>15</v>
      </c>
      <c r="D50"/>
      <c r="E50" s="31" t="s">
        <v>16</v>
      </c>
      <c r="F50"/>
      <c r="G50" s="31" t="s">
        <v>15</v>
      </c>
      <c r="H50"/>
      <c r="I50" s="31" t="s">
        <v>16</v>
      </c>
      <c r="J50"/>
      <c r="K50"/>
      <c r="L50"/>
      <c r="M50"/>
      <c r="N50"/>
      <c r="O50"/>
      <c r="P50"/>
      <c r="Q50"/>
      <c r="R50"/>
      <c r="S50"/>
      <c r="T50"/>
      <c r="U50"/>
      <c r="V50"/>
      <c r="W50"/>
      <c r="X50"/>
      <c r="Y50"/>
      <c r="Z50"/>
      <c r="AA50"/>
      <c r="AB50"/>
      <c r="AC50"/>
      <c r="AD50"/>
      <c r="AE50"/>
      <c r="AF50" s="82"/>
      <c r="AQ50" s="110">
        <v>32.799999237060547</v>
      </c>
      <c r="AR50" s="110" t="s">
        <v>211</v>
      </c>
    </row>
    <row r="51" spans="2:44">
      <c r="B51" s="81"/>
      <c r="C51"/>
      <c r="D51"/>
      <c r="E51"/>
      <c r="F51"/>
      <c r="G51"/>
      <c r="H51"/>
      <c r="I51"/>
      <c r="J51"/>
      <c r="K51"/>
      <c r="L51"/>
      <c r="M51"/>
      <c r="N51"/>
      <c r="O51"/>
      <c r="P51"/>
      <c r="Q51"/>
      <c r="R51"/>
      <c r="S51"/>
      <c r="T51"/>
      <c r="U51"/>
      <c r="V51"/>
      <c r="W51"/>
      <c r="X51"/>
      <c r="Y51"/>
      <c r="Z51"/>
      <c r="AA51"/>
      <c r="AB51"/>
      <c r="AC51"/>
      <c r="AD51"/>
      <c r="AE51"/>
      <c r="AF51" s="82"/>
      <c r="AQ51" s="110">
        <v>72.5</v>
      </c>
      <c r="AR51" s="110" t="s">
        <v>212</v>
      </c>
    </row>
    <row r="52" spans="2:44">
      <c r="B52" s="81"/>
      <c r="C52"/>
      <c r="D52"/>
      <c r="E52"/>
      <c r="F52"/>
      <c r="G52"/>
      <c r="H52"/>
      <c r="I52"/>
      <c r="J52"/>
      <c r="K52"/>
      <c r="L52"/>
      <c r="M52"/>
      <c r="N52"/>
      <c r="O52"/>
      <c r="P52"/>
      <c r="Q52"/>
      <c r="R52"/>
      <c r="S52"/>
      <c r="T52"/>
      <c r="U52"/>
      <c r="V52"/>
      <c r="W52"/>
      <c r="X52"/>
      <c r="Y52"/>
      <c r="Z52"/>
      <c r="AA52"/>
      <c r="AB52"/>
      <c r="AC52"/>
      <c r="AD52" s="108"/>
      <c r="AE52"/>
      <c r="AF52" s="82"/>
      <c r="AQ52" s="110">
        <v>2</v>
      </c>
      <c r="AR52" s="110" t="s">
        <v>213</v>
      </c>
    </row>
    <row r="53" spans="2:44">
      <c r="B53" s="81"/>
      <c r="C53"/>
      <c r="D53"/>
      <c r="E53"/>
      <c r="F53"/>
      <c r="G53"/>
      <c r="H53"/>
      <c r="I53"/>
      <c r="J53"/>
      <c r="K53"/>
      <c r="L53"/>
      <c r="M53"/>
      <c r="N53"/>
      <c r="O53"/>
      <c r="P53"/>
      <c r="Q53"/>
      <c r="R53"/>
      <c r="S53"/>
      <c r="T53"/>
      <c r="U53"/>
      <c r="V53"/>
      <c r="W53"/>
      <c r="X53"/>
      <c r="Y53"/>
      <c r="Z53"/>
      <c r="AA53"/>
      <c r="AB53"/>
      <c r="AC53"/>
      <c r="AD53"/>
      <c r="AE53"/>
      <c r="AF53" s="82"/>
      <c r="AQ53" s="110">
        <v>10</v>
      </c>
      <c r="AR53" s="110" t="s">
        <v>214</v>
      </c>
    </row>
    <row r="54" spans="2:44">
      <c r="B54" s="81"/>
      <c r="C54"/>
      <c r="D54"/>
      <c r="E54"/>
      <c r="F54"/>
      <c r="G54"/>
      <c r="H54"/>
      <c r="I54"/>
      <c r="J54"/>
      <c r="K54"/>
      <c r="L54"/>
      <c r="M54"/>
      <c r="N54"/>
      <c r="O54"/>
      <c r="P54"/>
      <c r="Q54"/>
      <c r="R54"/>
      <c r="S54"/>
      <c r="T54"/>
      <c r="U54"/>
      <c r="V54"/>
      <c r="W54"/>
      <c r="X54"/>
      <c r="Y54"/>
      <c r="Z54"/>
      <c r="AA54"/>
      <c r="AB54"/>
      <c r="AC54"/>
      <c r="AD54"/>
      <c r="AE54"/>
      <c r="AF54" s="82"/>
      <c r="AQ54" s="110">
        <v>10</v>
      </c>
      <c r="AR54" s="110" t="s">
        <v>30</v>
      </c>
    </row>
    <row r="55" spans="2:44" ht="24" customHeight="1">
      <c r="B55" s="81"/>
      <c r="C55"/>
      <c r="D55" s="214">
        <v>34</v>
      </c>
      <c r="E55" s="214"/>
      <c r="F55"/>
      <c r="G55"/>
      <c r="H55" s="86">
        <v>8</v>
      </c>
      <c r="I55"/>
      <c r="J55"/>
      <c r="K55"/>
      <c r="L55" s="219">
        <v>303.41217041015625</v>
      </c>
      <c r="M55" s="219"/>
      <c r="N55" s="34" t="str">
        <f>IF($AH$14="Standard","(cy)",CONCATENATE("(m",$AJ$16,")"))</f>
        <v>(cy)</v>
      </c>
      <c r="O55"/>
      <c r="P55" s="174">
        <v>676.92755126953125</v>
      </c>
      <c r="Q55" s="34" t="str">
        <f>IF($AH$14="Standard","(sy)",CONCATENATE("(m",$AI$16,")"))</f>
        <v>(sy)</v>
      </c>
      <c r="R55"/>
      <c r="S55" s="34"/>
      <c r="T55" s="174">
        <v>90.75</v>
      </c>
      <c r="U55" s="34" t="str">
        <f>IF($AH$14="Standard","(ft)",CONCATENATE("(m)"))</f>
        <v>(ft)</v>
      </c>
      <c r="V55"/>
      <c r="W55" s="175"/>
      <c r="X55" s="174"/>
      <c r="Y55" s="177" t="str">
        <f>IF($AH$14="Standard","(ft)",CONCATENATE("(m)"))</f>
        <v>(ft)</v>
      </c>
      <c r="Z55" s="34"/>
      <c r="AA55" s="85"/>
      <c r="AB55" s="177" t="str">
        <f>IF($AH$14="Standard","(ft)",CONCATENATE("(m)"))</f>
        <v>(ft)</v>
      </c>
      <c r="AC55" s="176"/>
      <c r="AD55" s="174"/>
      <c r="AE55" s="34" t="str">
        <f>IF($AH$14="Standard","(sf)",CONCATENATE("(m",$AI$16,")"))</f>
        <v>(sf)</v>
      </c>
      <c r="AF55" s="82"/>
      <c r="AQ55" s="110">
        <v>749.92413330078125</v>
      </c>
      <c r="AR55" s="53" t="s">
        <v>217</v>
      </c>
    </row>
    <row r="56" spans="2:44">
      <c r="B56" s="81"/>
      <c r="C56"/>
      <c r="D56"/>
      <c r="E56"/>
      <c r="F56"/>
      <c r="G56"/>
      <c r="H56"/>
      <c r="I56"/>
      <c r="J56"/>
      <c r="K56"/>
      <c r="L56"/>
      <c r="M56"/>
      <c r="N56"/>
      <c r="O56"/>
      <c r="P56"/>
      <c r="Q56"/>
      <c r="R56"/>
      <c r="S56"/>
      <c r="T56"/>
      <c r="U56"/>
      <c r="V56"/>
      <c r="W56"/>
      <c r="X56"/>
      <c r="Y56"/>
      <c r="Z56"/>
      <c r="AA56"/>
      <c r="AB56"/>
      <c r="AC56"/>
      <c r="AD56"/>
      <c r="AE56"/>
      <c r="AF56" s="82"/>
    </row>
    <row r="57" spans="2:44">
      <c r="B57" s="81"/>
      <c r="C57"/>
      <c r="D57"/>
      <c r="E57"/>
      <c r="F57"/>
      <c r="G57"/>
      <c r="H57"/>
      <c r="I57"/>
      <c r="J57"/>
      <c r="K57"/>
      <c r="L57"/>
      <c r="M57"/>
      <c r="N57"/>
      <c r="O57"/>
      <c r="P57"/>
      <c r="Q57"/>
      <c r="R57"/>
      <c r="S57"/>
      <c r="T57"/>
      <c r="U57"/>
      <c r="V57"/>
      <c r="W57"/>
      <c r="X57"/>
      <c r="Y57"/>
      <c r="Z57"/>
      <c r="AA57"/>
      <c r="AB57"/>
      <c r="AC57"/>
      <c r="AD57"/>
      <c r="AE57"/>
      <c r="AF57" s="82"/>
    </row>
    <row r="58" spans="2:44">
      <c r="B58" s="81"/>
      <c r="C58"/>
      <c r="D58"/>
      <c r="E58"/>
      <c r="F58"/>
      <c r="G58"/>
      <c r="H58"/>
      <c r="I58"/>
      <c r="J58"/>
      <c r="K58"/>
      <c r="L58"/>
      <c r="M58"/>
      <c r="N58"/>
      <c r="O58"/>
      <c r="P58"/>
      <c r="Q58"/>
      <c r="R58"/>
      <c r="S58"/>
      <c r="T58"/>
      <c r="U58"/>
      <c r="V58"/>
      <c r="W58"/>
      <c r="X58"/>
      <c r="Y58"/>
      <c r="Z58"/>
      <c r="AA58"/>
      <c r="AB58"/>
      <c r="AC58"/>
      <c r="AD58"/>
      <c r="AE58"/>
      <c r="AF58" s="82"/>
    </row>
    <row r="59" spans="2:44">
      <c r="B59" s="81"/>
      <c r="C59"/>
      <c r="D59"/>
      <c r="E59"/>
      <c r="F59"/>
      <c r="G59"/>
      <c r="H59"/>
      <c r="I59"/>
      <c r="J59"/>
      <c r="K59"/>
      <c r="L59"/>
      <c r="M59"/>
      <c r="N59"/>
      <c r="O59"/>
      <c r="P59"/>
      <c r="Q59"/>
      <c r="R59"/>
      <c r="S59"/>
      <c r="T59"/>
      <c r="U59"/>
      <c r="V59"/>
      <c r="W59"/>
      <c r="X59"/>
      <c r="Y59"/>
      <c r="Z59"/>
      <c r="AA59"/>
      <c r="AB59"/>
      <c r="AC59"/>
      <c r="AD59"/>
      <c r="AE59"/>
      <c r="AF59" s="82"/>
    </row>
    <row r="60" spans="2:44" ht="15.75" thickBot="1">
      <c r="B60" s="83"/>
      <c r="C60" s="84"/>
      <c r="D60" s="84"/>
      <c r="E60" s="84"/>
      <c r="F60" s="84"/>
      <c r="G60" s="84"/>
      <c r="H60" s="84"/>
      <c r="I60" s="84"/>
      <c r="J60" s="84"/>
      <c r="K60" s="84"/>
      <c r="L60" s="84"/>
      <c r="M60" s="84"/>
      <c r="N60" s="84"/>
      <c r="O60" s="84"/>
      <c r="P60" s="84"/>
      <c r="Q60" s="84"/>
      <c r="R60" s="84"/>
      <c r="S60" s="84"/>
      <c r="T60" s="84"/>
      <c r="U60" s="84"/>
      <c r="V60" s="84"/>
      <c r="W60" s="84"/>
      <c r="X60" s="84"/>
      <c r="Y60" s="84"/>
      <c r="Z60" s="84"/>
      <c r="AA60" s="84"/>
      <c r="AB60" s="84"/>
      <c r="AC60" s="84"/>
      <c r="AD60" s="84"/>
      <c r="AE60" s="84"/>
      <c r="AF60" s="154" t="s">
        <v>276</v>
      </c>
    </row>
    <row r="61" spans="2:44" ht="15.75" thickTop="1"/>
    <row r="270" spans="3:3">
      <c r="C270" s="30">
        <v>25000</v>
      </c>
    </row>
  </sheetData>
  <sheetProtection formatCells="0" selectLockedCells="1"/>
  <mergeCells count="24">
    <mergeCell ref="L55:M55"/>
    <mergeCell ref="D55:E55"/>
    <mergeCell ref="C8:D8"/>
    <mergeCell ref="C10:D10"/>
    <mergeCell ref="I10:J10"/>
    <mergeCell ref="K10:O10"/>
    <mergeCell ref="G44:O44"/>
    <mergeCell ref="E8:H8"/>
    <mergeCell ref="E10:H10"/>
    <mergeCell ref="N8:O8"/>
    <mergeCell ref="B6:AF6"/>
    <mergeCell ref="B12:AF12"/>
    <mergeCell ref="B20:AF20"/>
    <mergeCell ref="B46:AF46"/>
    <mergeCell ref="U49:V49"/>
    <mergeCell ref="M49:N49"/>
    <mergeCell ref="T14:U14"/>
    <mergeCell ref="X10:Z10"/>
    <mergeCell ref="Y8:Z8"/>
    <mergeCell ref="R8:T8"/>
    <mergeCell ref="V8:W8"/>
    <mergeCell ref="S10:W10"/>
    <mergeCell ref="AA8:AE8"/>
    <mergeCell ref="AA10:AE10"/>
  </mergeCells>
  <dataValidations disablePrompts="1" count="1">
    <dataValidation allowBlank="1" showInputMessage="1" showErrorMessage="1" sqref="T14:U14" xr:uid="{6DBAA318-062A-4AC7-9429-DDCBA4D55A9B}"/>
  </dataValidations>
  <printOptions horizontalCentered="1" verticalCentered="1"/>
  <pageMargins left="0" right="0" top="0" bottom="0" header="0" footer="0"/>
  <pageSetup scale="57" orientation="landscape" r:id="rId1"/>
  <rowBreaks count="1" manualBreakCount="1">
    <brk id="60" max="16383" man="1"/>
  </rowBreaks>
  <colBreaks count="1" manualBreakCount="1">
    <brk id="32" max="1048575" man="1"/>
  </colBreaks>
  <drawing r:id="rId2"/>
  <legacyDrawing r:id="rId3"/>
  <controls>
    <mc:AlternateContent xmlns:mc="http://schemas.openxmlformats.org/markup-compatibility/2006">
      <mc:Choice Requires="x14">
        <control shapeId="1041" r:id="rId4" name="systemtype">
          <controlPr defaultSize="0" autoLine="0" r:id="rId5">
            <anchor moveWithCells="1">
              <from>
                <xdr:col>2</xdr:col>
                <xdr:colOff>57150</xdr:colOff>
                <xdr:row>13</xdr:row>
                <xdr:rowOff>85725</xdr:rowOff>
              </from>
              <to>
                <xdr:col>3</xdr:col>
                <xdr:colOff>466725</xdr:colOff>
                <xdr:row>13</xdr:row>
                <xdr:rowOff>314325</xdr:rowOff>
              </to>
            </anchor>
          </controlPr>
        </control>
      </mc:Choice>
      <mc:Fallback>
        <control shapeId="1041" r:id="rId4" name="systemtype"/>
      </mc:Fallback>
    </mc:AlternateContent>
    <mc:AlternateContent xmlns:mc="http://schemas.openxmlformats.org/markup-compatibility/2006">
      <mc:Choice Requires="x14">
        <control shapeId="1040" r:id="rId6" name="linersize">
          <controlPr defaultSize="0" disabled="1" autoLine="0" r:id="rId7">
            <anchor moveWithCells="1">
              <from>
                <xdr:col>4</xdr:col>
                <xdr:colOff>381000</xdr:colOff>
                <xdr:row>13</xdr:row>
                <xdr:rowOff>85725</xdr:rowOff>
              </from>
              <to>
                <xdr:col>6</xdr:col>
                <xdr:colOff>190500</xdr:colOff>
                <xdr:row>13</xdr:row>
                <xdr:rowOff>314325</xdr:rowOff>
              </to>
            </anchor>
          </controlPr>
        </control>
      </mc:Choice>
      <mc:Fallback>
        <control shapeId="1040" r:id="rId6" name="linersize"/>
      </mc:Fallback>
    </mc:AlternateContent>
    <mc:AlternateContent xmlns:mc="http://schemas.openxmlformats.org/markup-compatibility/2006">
      <mc:Choice Requires="x14">
        <control shapeId="1039" r:id="rId8" name="chamsize">
          <controlPr defaultSize="0" autoLine="0" r:id="rId9">
            <anchor moveWithCells="1">
              <from>
                <xdr:col>7</xdr:col>
                <xdr:colOff>133350</xdr:colOff>
                <xdr:row>13</xdr:row>
                <xdr:rowOff>57150</xdr:rowOff>
              </from>
              <to>
                <xdr:col>9</xdr:col>
                <xdr:colOff>85725</xdr:colOff>
                <xdr:row>13</xdr:row>
                <xdr:rowOff>285750</xdr:rowOff>
              </to>
            </anchor>
          </controlPr>
        </control>
      </mc:Choice>
      <mc:Fallback>
        <control shapeId="1039" r:id="rId8" name="chamsize"/>
      </mc:Fallback>
    </mc:AlternateContent>
    <mc:AlternateContent xmlns:mc="http://schemas.openxmlformats.org/markup-compatibility/2006">
      <mc:Choice Requires="x14">
        <control shapeId="1034" r:id="rId10" name="units">
          <controlPr locked="0" autoLine="0" linkedCell="AH14" r:id="rId11">
            <anchor moveWithCells="1">
              <from>
                <xdr:col>28</xdr:col>
                <xdr:colOff>400050</xdr:colOff>
                <xdr:row>13</xdr:row>
                <xdr:rowOff>57150</xdr:rowOff>
              </from>
              <to>
                <xdr:col>29</xdr:col>
                <xdr:colOff>571500</xdr:colOff>
                <xdr:row>13</xdr:row>
                <xdr:rowOff>314325</xdr:rowOff>
              </to>
            </anchor>
          </controlPr>
        </control>
      </mc:Choice>
      <mc:Fallback>
        <control shapeId="1034" r:id="rId10" name="units"/>
      </mc:Fallback>
    </mc:AlternateContent>
    <mc:AlternateContent xmlns:mc="http://schemas.openxmlformats.org/markup-compatibility/2006">
      <mc:Choice Requires="x14">
        <control shapeId="1027" r:id="rId12" name="constraintonsystem">
          <controlPr locked="0" autoLine="0" r:id="rId13">
            <anchor moveWithCells="1">
              <from>
                <xdr:col>13</xdr:col>
                <xdr:colOff>323850</xdr:colOff>
                <xdr:row>13</xdr:row>
                <xdr:rowOff>57150</xdr:rowOff>
              </from>
              <to>
                <xdr:col>15</xdr:col>
                <xdr:colOff>104775</xdr:colOff>
                <xdr:row>13</xdr:row>
                <xdr:rowOff>276225</xdr:rowOff>
              </to>
            </anchor>
          </controlPr>
        </control>
      </mc:Choice>
      <mc:Fallback>
        <control shapeId="1027" r:id="rId12" name="constraintonsystem"/>
      </mc:Fallback>
    </mc:AlternateContent>
    <mc:AlternateContent xmlns:mc="http://schemas.openxmlformats.org/markup-compatibility/2006">
      <mc:Choice Requires="x14">
        <control shapeId="1028" r:id="rId14" name="numberofmanifolds">
          <controlPr locked="0" autoLine="0" r:id="rId15">
            <anchor moveWithCells="1">
              <from>
                <xdr:col>16</xdr:col>
                <xdr:colOff>400050</xdr:colOff>
                <xdr:row>13</xdr:row>
                <xdr:rowOff>57150</xdr:rowOff>
              </from>
              <to>
                <xdr:col>17</xdr:col>
                <xdr:colOff>504825</xdr:colOff>
                <xdr:row>13</xdr:row>
                <xdr:rowOff>304800</xdr:rowOff>
              </to>
            </anchor>
          </controlPr>
        </control>
      </mc:Choice>
      <mc:Fallback>
        <control shapeId="1028" r:id="rId14" name="numberofmanifolds"/>
      </mc:Fallback>
    </mc:AlternateContent>
    <mc:AlternateContent xmlns:mc="http://schemas.openxmlformats.org/markup-compatibility/2006">
      <mc:Choice Requires="x14">
        <control shapeId="1029" r:id="rId16" name="manifolddiameter">
          <controlPr locked="0" autoLine="0" r:id="rId17">
            <anchor moveWithCells="1">
              <from>
                <xdr:col>20</xdr:col>
                <xdr:colOff>0</xdr:colOff>
                <xdr:row>13</xdr:row>
                <xdr:rowOff>57150</xdr:rowOff>
              </from>
              <to>
                <xdr:col>22</xdr:col>
                <xdr:colOff>76200</xdr:colOff>
                <xdr:row>13</xdr:row>
                <xdr:rowOff>314325</xdr:rowOff>
              </to>
            </anchor>
          </controlPr>
        </control>
      </mc:Choice>
      <mc:Fallback>
        <control shapeId="1029" r:id="rId16" name="manifolddiameter"/>
      </mc:Fallback>
    </mc:AlternateContent>
    <mc:AlternateContent xmlns:mc="http://schemas.openxmlformats.org/markup-compatibility/2006">
      <mc:Choice Requires="x14">
        <control shapeId="1030" r:id="rId18" name="includemanifoldvolume">
          <controlPr locked="0" autoLine="0" r:id="rId19">
            <anchor moveWithCells="1">
              <from>
                <xdr:col>25</xdr:col>
                <xdr:colOff>161925</xdr:colOff>
                <xdr:row>13</xdr:row>
                <xdr:rowOff>57150</xdr:rowOff>
              </from>
              <to>
                <xdr:col>27</xdr:col>
                <xdr:colOff>180975</xdr:colOff>
                <xdr:row>13</xdr:row>
                <xdr:rowOff>314325</xdr:rowOff>
              </to>
            </anchor>
          </controlPr>
        </control>
      </mc:Choice>
      <mc:Fallback>
        <control shapeId="1030" r:id="rId18" name="includemanifoldvolume"/>
      </mc:Fallback>
    </mc:AlternateContent>
    <mc:AlternateContent xmlns:mc="http://schemas.openxmlformats.org/markup-compatibility/2006">
      <mc:Choice Requires="x14">
        <control shapeId="1031" r:id="rId20" name="Button 7">
          <controlPr locked="0" defaultSize="0" print="0" autoFill="0" autoPict="0" macro="[0]!Button7_Click">
            <anchor moveWithCells="1" sizeWithCells="1">
              <from>
                <xdr:col>24</xdr:col>
                <xdr:colOff>228600</xdr:colOff>
                <xdr:row>17</xdr:row>
                <xdr:rowOff>19050</xdr:rowOff>
              </from>
              <to>
                <xdr:col>29</xdr:col>
                <xdr:colOff>552450</xdr:colOff>
                <xdr:row>18</xdr:row>
                <xdr:rowOff>190500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pageSetUpPr fitToPage="1"/>
  </sheetPr>
  <dimension ref="A1:FU749"/>
  <sheetViews>
    <sheetView showGridLines="0" topLeftCell="A14" zoomScaleNormal="100" workbookViewId="0">
      <selection activeCell="BQ28" sqref="BQ28"/>
    </sheetView>
  </sheetViews>
  <sheetFormatPr defaultColWidth="2.28515625" defaultRowHeight="11.25" outlineLevelRow="1"/>
  <cols>
    <col min="1" max="1" width="3.5703125" style="61" bestFit="1" customWidth="1"/>
    <col min="2" max="5" width="2.28515625" style="61"/>
    <col min="6" max="6" width="3.42578125" style="1" customWidth="1"/>
    <col min="7" max="10" width="3.28515625" style="1" customWidth="1"/>
    <col min="11" max="11" width="6" style="1" customWidth="1"/>
    <col min="12" max="13" width="3.28515625" style="1" customWidth="1"/>
    <col min="14" max="14" width="4.28515625" style="1" bestFit="1" customWidth="1"/>
    <col min="15" max="15" width="5.7109375" style="1" customWidth="1"/>
    <col min="16" max="16" width="3.28515625" style="1" customWidth="1"/>
    <col min="17" max="17" width="3.7109375" style="1" customWidth="1"/>
    <col min="18" max="18" width="3.28515625" style="1" customWidth="1"/>
    <col min="19" max="19" width="3.7109375" style="1" customWidth="1"/>
    <col min="20" max="20" width="5" style="1" customWidth="1"/>
    <col min="21" max="36" width="3.28515625" style="1" customWidth="1"/>
    <col min="37" max="37" width="3.42578125" style="1" customWidth="1"/>
    <col min="38" max="45" width="3.28515625" style="1" customWidth="1"/>
    <col min="46" max="46" width="3.7109375" style="1" customWidth="1"/>
    <col min="47" max="50" width="2.28515625" style="1" customWidth="1"/>
    <col min="51" max="53" width="2.28515625" style="1"/>
    <col min="54" max="54" width="3.7109375" style="1" customWidth="1"/>
    <col min="55" max="55" width="2.28515625" style="1"/>
    <col min="56" max="56" width="4.42578125" style="1" bestFit="1" customWidth="1"/>
    <col min="57" max="63" width="3.28515625" style="59" customWidth="1"/>
    <col min="64" max="177" width="2.28515625" style="59"/>
    <col min="178" max="16384" width="2.28515625" style="1"/>
  </cols>
  <sheetData>
    <row r="1" spans="1:177" ht="7.5" customHeight="1" thickTop="1">
      <c r="F1" s="64"/>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5"/>
      <c r="BB1" s="65"/>
      <c r="BC1" s="65"/>
      <c r="BD1" s="66"/>
    </row>
    <row r="2" spans="1:177" ht="3.75" customHeight="1">
      <c r="F2" s="67"/>
      <c r="BD2" s="68"/>
    </row>
    <row r="3" spans="1:177" ht="63.75" customHeight="1">
      <c r="F3" s="67"/>
      <c r="P3" s="161" t="s">
        <v>241</v>
      </c>
      <c r="BD3" s="68"/>
    </row>
    <row r="4" spans="1:177" ht="13.15" customHeight="1">
      <c r="F4" s="206" t="s">
        <v>0</v>
      </c>
      <c r="G4" s="207"/>
      <c r="H4" s="207"/>
      <c r="I4" s="207"/>
      <c r="J4" s="207"/>
      <c r="K4" s="207"/>
      <c r="L4" s="207"/>
      <c r="M4" s="207"/>
      <c r="N4" s="207"/>
      <c r="O4" s="207"/>
      <c r="P4" s="207"/>
      <c r="Q4" s="207"/>
      <c r="R4" s="207"/>
      <c r="S4" s="207"/>
      <c r="T4" s="207"/>
      <c r="U4" s="207"/>
      <c r="V4" s="207"/>
      <c r="W4" s="207"/>
      <c r="X4" s="207"/>
      <c r="Y4" s="207"/>
      <c r="Z4" s="207"/>
      <c r="AA4" s="207"/>
      <c r="AB4" s="207"/>
      <c r="AC4" s="207"/>
      <c r="AD4" s="207"/>
      <c r="AE4" s="207"/>
      <c r="AF4" s="207"/>
      <c r="AG4" s="207"/>
      <c r="AH4" s="207"/>
      <c r="AI4" s="207"/>
      <c r="AJ4" s="207"/>
      <c r="AK4" s="207"/>
      <c r="AL4" s="207"/>
      <c r="AM4" s="207"/>
      <c r="AN4" s="207"/>
      <c r="AO4" s="207"/>
      <c r="AP4" s="207"/>
      <c r="AQ4" s="207"/>
      <c r="AR4" s="207"/>
      <c r="AS4" s="207"/>
      <c r="AT4" s="207"/>
      <c r="AU4" s="207"/>
      <c r="AV4" s="207"/>
      <c r="AW4" s="207"/>
      <c r="AX4" s="207"/>
      <c r="AY4" s="207"/>
      <c r="AZ4" s="207"/>
      <c r="BA4" s="207"/>
      <c r="BB4" s="207"/>
      <c r="BC4" s="207"/>
      <c r="BD4" s="208"/>
    </row>
    <row r="5" spans="1:177" ht="6.75" customHeight="1">
      <c r="F5" s="67"/>
      <c r="BD5" s="68"/>
    </row>
    <row r="6" spans="1:177" ht="18.75" customHeight="1">
      <c r="F6" s="67"/>
      <c r="J6" s="2" t="s">
        <v>1</v>
      </c>
      <c r="K6" s="205"/>
      <c r="L6" s="205"/>
      <c r="M6" s="205"/>
      <c r="N6" s="205"/>
      <c r="O6" s="205"/>
      <c r="P6" s="205"/>
      <c r="Q6" s="205"/>
      <c r="R6" s="205"/>
      <c r="S6" s="205"/>
      <c r="V6" s="2" t="s">
        <v>3</v>
      </c>
      <c r="W6" s="205"/>
      <c r="X6" s="205"/>
      <c r="Y6" s="3" t="s">
        <v>4</v>
      </c>
      <c r="Z6" s="205"/>
      <c r="AA6" s="205"/>
      <c r="AB6" s="3" t="s">
        <v>4</v>
      </c>
      <c r="AC6" s="205"/>
      <c r="AD6" s="205"/>
      <c r="AH6" s="2" t="s">
        <v>34</v>
      </c>
      <c r="AI6" s="205"/>
      <c r="AJ6" s="205"/>
      <c r="AK6" s="205"/>
      <c r="AL6" s="205"/>
      <c r="AM6" s="205"/>
      <c r="AN6" s="205"/>
      <c r="AO6" s="3" t="s">
        <v>4</v>
      </c>
      <c r="AP6" s="205"/>
      <c r="AQ6" s="205"/>
      <c r="AT6" s="2" t="s">
        <v>8</v>
      </c>
      <c r="AU6" s="205"/>
      <c r="AV6" s="205"/>
      <c r="AW6" s="205"/>
      <c r="AX6" s="205"/>
      <c r="AY6" s="205"/>
      <c r="AZ6" s="205"/>
      <c r="BA6" s="205"/>
      <c r="BB6" s="205"/>
      <c r="BC6" s="205"/>
      <c r="BD6" s="68"/>
    </row>
    <row r="7" spans="1:177" ht="18.75" customHeight="1">
      <c r="F7" s="67"/>
      <c r="J7" s="2" t="s">
        <v>2</v>
      </c>
      <c r="K7" s="205"/>
      <c r="L7" s="205"/>
      <c r="M7" s="205"/>
      <c r="N7" s="205"/>
      <c r="O7" s="205"/>
      <c r="P7" s="205"/>
      <c r="Q7" s="205"/>
      <c r="R7" s="205"/>
      <c r="S7" s="205"/>
      <c r="W7" s="2" t="s">
        <v>5</v>
      </c>
      <c r="X7" s="205"/>
      <c r="Y7" s="205"/>
      <c r="Z7" s="205"/>
      <c r="AA7" s="205"/>
      <c r="AB7" s="205"/>
      <c r="AC7" s="205"/>
      <c r="AD7" s="205"/>
      <c r="AH7" s="2" t="s">
        <v>7</v>
      </c>
      <c r="AI7" s="205"/>
      <c r="AJ7" s="205"/>
      <c r="AK7" s="205"/>
      <c r="AL7" s="205"/>
      <c r="AM7" s="205"/>
      <c r="AN7" s="205"/>
      <c r="AO7" s="205"/>
      <c r="AP7" s="205"/>
      <c r="AQ7" s="205"/>
      <c r="AT7" s="2" t="s">
        <v>9</v>
      </c>
      <c r="AU7" s="204"/>
      <c r="AV7" s="204"/>
      <c r="AW7" s="204"/>
      <c r="AX7" s="204"/>
      <c r="AY7" s="204"/>
      <c r="AZ7" s="204"/>
      <c r="BA7" s="204"/>
      <c r="BB7" s="204"/>
      <c r="BC7" s="204"/>
      <c r="BD7" s="68"/>
    </row>
    <row r="8" spans="1:177" ht="9" customHeight="1">
      <c r="F8" s="67"/>
      <c r="BD8" s="68"/>
    </row>
    <row r="9" spans="1:177" ht="13.15" customHeight="1">
      <c r="F9" s="206" t="s">
        <v>35</v>
      </c>
      <c r="G9" s="207"/>
      <c r="H9" s="207"/>
      <c r="I9" s="207"/>
      <c r="J9" s="207"/>
      <c r="K9" s="207"/>
      <c r="L9" s="207"/>
      <c r="M9" s="207"/>
      <c r="N9" s="207"/>
      <c r="O9" s="207"/>
      <c r="P9" s="207"/>
      <c r="Q9" s="207"/>
      <c r="R9" s="207"/>
      <c r="S9" s="207"/>
      <c r="T9" s="207"/>
      <c r="U9" s="207"/>
      <c r="V9" s="207"/>
      <c r="W9" s="207"/>
      <c r="X9" s="207"/>
      <c r="Y9" s="207"/>
      <c r="Z9" s="207"/>
      <c r="AA9" s="207"/>
      <c r="AB9" s="207"/>
      <c r="AC9" s="207"/>
      <c r="AD9" s="207"/>
      <c r="AE9" s="207"/>
      <c r="AF9" s="207"/>
      <c r="AG9" s="207"/>
      <c r="AH9" s="207"/>
      <c r="AI9" s="207"/>
      <c r="AJ9" s="207"/>
      <c r="AK9" s="207"/>
      <c r="AL9" s="207"/>
      <c r="AM9" s="207"/>
      <c r="AN9" s="207"/>
      <c r="AO9" s="207"/>
      <c r="AP9" s="207"/>
      <c r="AQ9" s="207"/>
      <c r="AR9" s="207"/>
      <c r="AS9" s="207"/>
      <c r="AT9" s="207"/>
      <c r="AU9" s="207"/>
      <c r="AV9" s="207"/>
      <c r="AW9" s="207"/>
      <c r="AX9" s="207"/>
      <c r="AY9" s="207"/>
      <c r="AZ9" s="207"/>
      <c r="BA9" s="207"/>
      <c r="BB9" s="207"/>
      <c r="BC9" s="207"/>
      <c r="BD9" s="208"/>
    </row>
    <row r="10" spans="1:177" ht="9" customHeight="1">
      <c r="F10" s="67"/>
      <c r="BD10" s="68"/>
    </row>
    <row r="11" spans="1:177" ht="18" customHeight="1">
      <c r="F11" s="67"/>
      <c r="I11" s="4"/>
      <c r="M11" s="5"/>
      <c r="N11" s="5"/>
      <c r="O11" s="5"/>
      <c r="R11" s="4"/>
      <c r="Z11" s="4"/>
      <c r="AH11" s="4"/>
      <c r="AV11" s="4"/>
      <c r="BD11" s="68"/>
    </row>
    <row r="12" spans="1:177" s="5" customFormat="1" ht="9" customHeight="1">
      <c r="A12" s="62"/>
      <c r="B12" s="62"/>
      <c r="C12" s="62"/>
      <c r="D12" s="62"/>
      <c r="E12" s="62"/>
      <c r="F12" s="69"/>
      <c r="L12" s="1"/>
      <c r="AN12" s="6"/>
      <c r="AO12" s="200" t="s">
        <v>36</v>
      </c>
      <c r="AP12" s="200"/>
      <c r="AQ12" s="200"/>
      <c r="AR12" s="200"/>
      <c r="AS12" s="200"/>
      <c r="AT12" s="200"/>
      <c r="AU12" s="200"/>
      <c r="AV12" s="200"/>
      <c r="AW12" s="200"/>
      <c r="AX12" s="200"/>
      <c r="AY12" s="200"/>
      <c r="AZ12" s="200"/>
      <c r="BA12" s="200"/>
      <c r="BB12" s="200"/>
      <c r="BC12" s="200"/>
      <c r="BD12" s="70"/>
      <c r="BE12" s="60"/>
      <c r="BF12" s="60"/>
      <c r="BG12" s="60"/>
      <c r="BH12" s="60"/>
      <c r="BI12" s="60"/>
      <c r="BJ12" s="60"/>
      <c r="BK12" s="60"/>
      <c r="BL12" s="60"/>
      <c r="BM12" s="60"/>
      <c r="BN12" s="60"/>
      <c r="BO12" s="60"/>
      <c r="BP12" s="60"/>
      <c r="BQ12" s="60"/>
      <c r="BR12" s="60"/>
      <c r="BS12" s="60"/>
      <c r="BT12" s="60"/>
      <c r="BU12" s="60"/>
      <c r="BV12" s="60"/>
      <c r="BW12" s="60"/>
      <c r="BX12" s="60"/>
      <c r="BY12" s="60"/>
      <c r="BZ12" s="60"/>
      <c r="CA12" s="60"/>
      <c r="CB12" s="60"/>
      <c r="CC12" s="60"/>
      <c r="CD12" s="60"/>
      <c r="CE12" s="60"/>
      <c r="CF12" s="60"/>
      <c r="CG12" s="60"/>
      <c r="CH12" s="60"/>
      <c r="CI12" s="60"/>
      <c r="CJ12" s="60"/>
      <c r="CK12" s="60"/>
      <c r="CL12" s="60"/>
      <c r="CM12" s="60"/>
      <c r="CN12" s="60"/>
      <c r="CO12" s="60"/>
      <c r="CP12" s="60"/>
      <c r="CQ12" s="60"/>
      <c r="CR12" s="60"/>
      <c r="CS12" s="60"/>
      <c r="CT12" s="60"/>
      <c r="CU12" s="60"/>
      <c r="CV12" s="60"/>
      <c r="CW12" s="60"/>
      <c r="CX12" s="60"/>
      <c r="CY12" s="60"/>
      <c r="CZ12" s="60"/>
      <c r="DA12" s="60"/>
      <c r="DB12" s="60"/>
      <c r="DC12" s="60"/>
      <c r="DD12" s="60"/>
      <c r="DE12" s="60"/>
      <c r="DF12" s="60"/>
      <c r="DG12" s="60"/>
      <c r="DH12" s="60"/>
      <c r="DI12" s="60"/>
      <c r="DJ12" s="60"/>
      <c r="DK12" s="60"/>
      <c r="DL12" s="60"/>
      <c r="DM12" s="60"/>
      <c r="DN12" s="60"/>
      <c r="DO12" s="60"/>
      <c r="DP12" s="60"/>
      <c r="DQ12" s="60"/>
      <c r="DR12" s="60"/>
      <c r="DS12" s="60"/>
      <c r="DT12" s="60"/>
      <c r="DU12" s="60"/>
      <c r="DV12" s="60"/>
      <c r="DW12" s="60"/>
      <c r="DX12" s="60"/>
      <c r="DY12" s="60"/>
      <c r="DZ12" s="60"/>
      <c r="EA12" s="60"/>
      <c r="EB12" s="60"/>
      <c r="EC12" s="60"/>
      <c r="ED12" s="60"/>
      <c r="EE12" s="60"/>
      <c r="EF12" s="60"/>
      <c r="EG12" s="60"/>
      <c r="EH12" s="60"/>
      <c r="EI12" s="60"/>
      <c r="EJ12" s="60"/>
      <c r="EK12" s="60"/>
      <c r="EL12" s="60"/>
      <c r="EM12" s="60"/>
      <c r="EN12" s="60"/>
      <c r="EO12" s="60"/>
      <c r="EP12" s="60"/>
      <c r="EQ12" s="60"/>
      <c r="ER12" s="60"/>
      <c r="ES12" s="60"/>
      <c r="ET12" s="60"/>
      <c r="EU12" s="60"/>
      <c r="EV12" s="60"/>
      <c r="EW12" s="60"/>
      <c r="EX12" s="60"/>
      <c r="EY12" s="60"/>
      <c r="EZ12" s="60"/>
      <c r="FA12" s="60"/>
      <c r="FB12" s="60"/>
      <c r="FC12" s="60"/>
      <c r="FD12" s="60"/>
      <c r="FE12" s="60"/>
      <c r="FF12" s="60"/>
      <c r="FG12" s="60"/>
      <c r="FH12" s="60"/>
      <c r="FI12" s="60"/>
      <c r="FJ12" s="60"/>
      <c r="FK12" s="60"/>
      <c r="FL12" s="60"/>
      <c r="FM12" s="60"/>
      <c r="FN12" s="60"/>
      <c r="FO12" s="60"/>
      <c r="FP12" s="60"/>
      <c r="FQ12" s="60"/>
      <c r="FR12" s="60"/>
      <c r="FS12" s="60"/>
      <c r="FT12" s="60"/>
      <c r="FU12" s="60"/>
    </row>
    <row r="13" spans="1:177" ht="18" customHeight="1">
      <c r="F13" s="67"/>
      <c r="I13" s="4"/>
      <c r="K13" s="88">
        <v>12</v>
      </c>
      <c r="L13" s="87"/>
      <c r="T13" s="88">
        <v>20</v>
      </c>
      <c r="U13" s="87"/>
      <c r="AB13" s="4"/>
      <c r="AC13" s="198">
        <v>40</v>
      </c>
      <c r="AD13" s="199"/>
      <c r="AE13" s="7" t="s">
        <v>10</v>
      </c>
      <c r="AI13" s="4"/>
      <c r="AL13" s="198">
        <v>0</v>
      </c>
      <c r="AM13" s="199"/>
      <c r="AN13" s="5" t="str">
        <f>IF(Draft!$S$3=2,"(ft)","(m)")</f>
        <v>(ft)</v>
      </c>
      <c r="AS13" s="201">
        <v>9</v>
      </c>
      <c r="AT13" s="202"/>
      <c r="AU13" s="5" t="str">
        <f>IF(Draft!$S$3=2,"(ft)","(m)")</f>
        <v>(ft)</v>
      </c>
      <c r="BA13" s="201">
        <v>7</v>
      </c>
      <c r="BB13" s="202"/>
      <c r="BC13" s="8" t="str">
        <f>IF(Draft!$S$3=2,"(ft)","(m)")</f>
        <v>(ft)</v>
      </c>
      <c r="BD13" s="68"/>
    </row>
    <row r="14" spans="1:177" ht="9" customHeight="1">
      <c r="F14" s="67"/>
      <c r="AF14" s="4"/>
      <c r="AQ14" s="2"/>
      <c r="BD14" s="68"/>
    </row>
    <row r="15" spans="1:177" ht="18" customHeight="1">
      <c r="F15" s="67"/>
      <c r="K15" s="198">
        <v>0</v>
      </c>
      <c r="L15" s="199"/>
      <c r="M15" s="5" t="str">
        <f>IF(Draft!$S$3=2,"(in)","(mm)")</f>
        <v>(in)</v>
      </c>
      <c r="T15" s="198">
        <v>0</v>
      </c>
      <c r="U15" s="199"/>
      <c r="V15" s="5" t="str">
        <f>IF(Draft!$S$3=2,"(in)","(mm)")</f>
        <v>(in)</v>
      </c>
      <c r="AC15" s="198">
        <v>0</v>
      </c>
      <c r="AD15" s="199"/>
      <c r="AE15" s="5" t="str">
        <f>IF(Draft!$S$3=2,"(in)","(mm)")</f>
        <v>(in)</v>
      </c>
      <c r="AF15" s="4"/>
      <c r="AL15" s="198">
        <v>0</v>
      </c>
      <c r="AM15" s="199"/>
      <c r="AN15" s="1" t="str">
        <f>IF(Draft!$S$3=2,"(in)","(mm)")</f>
        <v>(in)</v>
      </c>
      <c r="AQ15" s="2"/>
      <c r="BB15" s="160" t="s">
        <v>239</v>
      </c>
      <c r="BD15" s="68"/>
    </row>
    <row r="16" spans="1:177" ht="15.75" customHeight="1">
      <c r="A16" s="63"/>
      <c r="F16" s="67"/>
      <c r="AF16" s="4"/>
      <c r="AQ16" s="159" t="s">
        <v>240</v>
      </c>
      <c r="BD16" s="68"/>
    </row>
    <row r="17" spans="6:56" ht="9.75" customHeight="1">
      <c r="F17" s="67"/>
      <c r="BD17" s="68"/>
    </row>
    <row r="18" spans="6:56" ht="9" customHeight="1">
      <c r="F18" s="67"/>
      <c r="I18" s="5"/>
      <c r="J18" s="5"/>
      <c r="K18" s="5"/>
      <c r="L18" s="5"/>
      <c r="M18" s="5"/>
      <c r="S18" s="5"/>
      <c r="AK18" s="10"/>
      <c r="BD18" s="68"/>
    </row>
    <row r="19" spans="6:56" ht="8.25" customHeight="1">
      <c r="F19" s="67"/>
      <c r="BD19" s="68"/>
    </row>
    <row r="20" spans="6:56" ht="19.149999999999999" customHeight="1" outlineLevel="1">
      <c r="F20" s="67"/>
      <c r="AN20" s="11"/>
      <c r="AO20" s="11"/>
      <c r="AP20" s="11"/>
      <c r="AQ20" s="11"/>
      <c r="AR20" s="11"/>
      <c r="AS20" s="11"/>
      <c r="BD20" s="68"/>
    </row>
    <row r="21" spans="6:56" ht="19.149999999999999" customHeight="1" outlineLevel="1">
      <c r="F21" s="67"/>
      <c r="BD21" s="68"/>
    </row>
    <row r="22" spans="6:56" ht="19.149999999999999" customHeight="1" outlineLevel="1">
      <c r="F22" s="67"/>
      <c r="BD22" s="68"/>
    </row>
    <row r="23" spans="6:56" ht="19.149999999999999" customHeight="1" outlineLevel="1">
      <c r="F23" s="67"/>
      <c r="BD23" s="68"/>
    </row>
    <row r="24" spans="6:56" ht="19.149999999999999" customHeight="1" outlineLevel="1">
      <c r="F24" s="67"/>
      <c r="BD24" s="68"/>
    </row>
    <row r="25" spans="6:56" ht="19.149999999999999" customHeight="1" outlineLevel="1">
      <c r="F25" s="67"/>
      <c r="BD25" s="68"/>
    </row>
    <row r="26" spans="6:56" ht="19.149999999999999" customHeight="1" outlineLevel="1">
      <c r="F26" s="67"/>
      <c r="BD26" s="68"/>
    </row>
    <row r="27" spans="6:56" ht="18" customHeight="1" outlineLevel="1">
      <c r="F27" s="67"/>
      <c r="BD27" s="68"/>
    </row>
    <row r="28" spans="6:56" ht="18" customHeight="1" outlineLevel="1">
      <c r="F28" s="67"/>
      <c r="BD28" s="68"/>
    </row>
    <row r="29" spans="6:56" ht="13.15" customHeight="1" outlineLevel="1">
      <c r="F29" s="67"/>
      <c r="BD29" s="68"/>
    </row>
    <row r="30" spans="6:56" ht="9" customHeight="1" outlineLevel="1">
      <c r="F30" s="67"/>
      <c r="BD30" s="68"/>
    </row>
    <row r="31" spans="6:56" ht="21" customHeight="1" outlineLevel="1">
      <c r="F31" s="67"/>
      <c r="G31" s="1" t="s">
        <v>37</v>
      </c>
      <c r="L31" s="191">
        <f>'LB Calcs'!G36/12</f>
        <v>2</v>
      </c>
      <c r="M31" s="191"/>
      <c r="N31" s="72" t="str">
        <f>IF(Draft!$S$3=2,"(ft)","(m)")</f>
        <v>(ft)</v>
      </c>
      <c r="O31" s="155" t="s">
        <v>161</v>
      </c>
      <c r="P31" s="166"/>
      <c r="R31" s="152"/>
      <c r="S31" s="152"/>
      <c r="T31" s="152"/>
      <c r="U31" s="152"/>
      <c r="V31" s="71"/>
      <c r="BD31" s="68"/>
    </row>
    <row r="32" spans="6:56" ht="21.6" customHeight="1" outlineLevel="1">
      <c r="F32" s="67"/>
      <c r="G32" s="1" t="s">
        <v>38</v>
      </c>
      <c r="L32" s="191">
        <f>'LB Calcs'!G37</f>
        <v>7</v>
      </c>
      <c r="M32" s="191"/>
      <c r="N32" s="72" t="str">
        <f>IF(Draft!$S$3=2,"(ft)","(m)")</f>
        <v>(ft)</v>
      </c>
      <c r="O32" s="89" t="s">
        <v>221</v>
      </c>
      <c r="P32" s="155"/>
      <c r="Q32" s="5"/>
      <c r="R32" s="5"/>
      <c r="S32" s="5"/>
      <c r="Z32" s="209" t="s">
        <v>39</v>
      </c>
      <c r="AA32" s="209"/>
      <c r="AB32" s="209"/>
      <c r="AC32" s="209"/>
      <c r="AH32" s="5"/>
      <c r="AI32" s="5"/>
      <c r="AJ32" s="5"/>
      <c r="AK32" s="5"/>
      <c r="AL32" s="5"/>
      <c r="AM32" s="5"/>
      <c r="AN32" s="5"/>
      <c r="AO32" s="5"/>
      <c r="AP32" s="5"/>
      <c r="AQ32" s="5"/>
      <c r="AR32" s="5"/>
      <c r="BD32" s="68"/>
    </row>
    <row r="33" spans="1:56" ht="3" customHeight="1" outlineLevel="1">
      <c r="F33" s="67"/>
      <c r="I33" s="5"/>
      <c r="J33" s="5"/>
      <c r="L33" s="4"/>
      <c r="M33" s="5"/>
      <c r="O33" s="155"/>
      <c r="S33" s="71"/>
      <c r="T33" s="71"/>
      <c r="U33" s="71"/>
      <c r="V33" s="71"/>
      <c r="W33" s="71"/>
      <c r="X33" s="71"/>
      <c r="Y33" s="71"/>
      <c r="Z33" s="209"/>
      <c r="AA33" s="209"/>
      <c r="AB33" s="209"/>
      <c r="AC33" s="209"/>
      <c r="BD33" s="68"/>
    </row>
    <row r="34" spans="1:56" ht="3.75" customHeight="1">
      <c r="F34" s="67"/>
      <c r="N34" s="8"/>
      <c r="Z34" s="209"/>
      <c r="AA34" s="209"/>
      <c r="AB34" s="209"/>
      <c r="AC34" s="209"/>
      <c r="BD34" s="68"/>
    </row>
    <row r="35" spans="1:56" ht="6" customHeight="1">
      <c r="F35" s="67"/>
      <c r="BD35" s="68"/>
    </row>
    <row r="36" spans="1:56" ht="21" customHeight="1">
      <c r="F36" s="67"/>
      <c r="J36" s="4"/>
      <c r="AA36" s="12"/>
      <c r="AB36" s="4"/>
      <c r="AM36" s="12"/>
      <c r="BD36" s="68"/>
    </row>
    <row r="37" spans="1:56" ht="11.25" customHeight="1">
      <c r="F37" s="73"/>
      <c r="G37" s="17"/>
      <c r="H37" s="17"/>
      <c r="I37" s="17"/>
      <c r="J37" s="47"/>
      <c r="K37" s="17"/>
      <c r="L37" s="17"/>
      <c r="M37" s="7"/>
      <c r="N37" s="7"/>
      <c r="O37" s="17"/>
      <c r="P37" s="17"/>
      <c r="Q37" s="17"/>
      <c r="R37" s="47"/>
      <c r="S37" s="17"/>
      <c r="T37" s="17"/>
      <c r="U37" s="7"/>
      <c r="V37" s="17"/>
      <c r="W37" s="17"/>
      <c r="X37" s="17"/>
      <c r="Y37" s="17"/>
      <c r="Z37" s="17"/>
      <c r="AA37" s="17"/>
      <c r="AB37" s="47"/>
      <c r="AC37" s="17"/>
      <c r="AD37" s="17"/>
      <c r="AE37" s="7"/>
      <c r="AF37" s="17"/>
      <c r="AG37" s="17"/>
      <c r="AH37" s="17"/>
      <c r="AI37" s="17"/>
      <c r="AJ37" s="17"/>
      <c r="AK37" s="47"/>
      <c r="AL37" s="17"/>
      <c r="AM37" s="17"/>
      <c r="AN37" s="48"/>
      <c r="AO37" s="17"/>
      <c r="AP37" s="17"/>
      <c r="AQ37" s="17"/>
      <c r="AR37" s="17"/>
      <c r="AS37" s="17"/>
      <c r="AT37" s="17"/>
      <c r="AU37" s="17"/>
      <c r="AV37" s="17"/>
      <c r="AW37" s="17"/>
      <c r="AX37" s="17"/>
      <c r="AY37" s="17"/>
      <c r="AZ37" s="17"/>
      <c r="BA37" s="17"/>
      <c r="BB37" s="7"/>
      <c r="BC37" s="17"/>
      <c r="BD37" s="74"/>
    </row>
    <row r="38" spans="1:56" ht="7.5" customHeight="1">
      <c r="F38" s="73"/>
      <c r="G38" s="17"/>
      <c r="H38" s="17"/>
      <c r="I38" s="17"/>
      <c r="J38" s="17"/>
      <c r="K38" s="17"/>
      <c r="L38" s="17"/>
      <c r="M38" s="17"/>
      <c r="N38" s="17"/>
      <c r="O38" s="17"/>
      <c r="P38" s="17"/>
      <c r="Q38" s="17"/>
      <c r="R38" s="17"/>
      <c r="S38" s="17"/>
      <c r="T38" s="17"/>
      <c r="U38" s="17"/>
      <c r="V38" s="17"/>
      <c r="W38" s="17"/>
      <c r="X38" s="17"/>
      <c r="Y38" s="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7"/>
      <c r="BB38" s="17"/>
      <c r="BC38" s="17"/>
      <c r="BD38" s="74"/>
    </row>
    <row r="39" spans="1:56" ht="18.75" customHeight="1">
      <c r="F39" s="73"/>
      <c r="G39" s="17"/>
      <c r="H39" s="17"/>
      <c r="I39" s="17"/>
      <c r="J39" s="17"/>
      <c r="K39" s="17"/>
      <c r="L39" s="17"/>
      <c r="M39" s="192">
        <f>IF(Draft!S3=2, 'LB Calcs'!G9,'LB Calcs'!I9)</f>
        <v>10013.669013194443</v>
      </c>
      <c r="N39" s="193"/>
      <c r="O39" s="7" t="str">
        <f>IF(Draft!$S$3=2,"(sq.f)","(sq.m)")</f>
        <v>(sq.f)</v>
      </c>
      <c r="P39" s="17"/>
      <c r="Q39" s="17"/>
      <c r="R39" s="17"/>
      <c r="S39" s="17"/>
      <c r="T39" s="192">
        <f>IF(Draft!$S$3=2, 'LB Calcs'!G7,'LB Calcs'!I7)</f>
        <v>15880.587964321261</v>
      </c>
      <c r="U39" s="193"/>
      <c r="V39" s="7" t="str">
        <f>IF(Draft!$S$3=2,"(cu.f)","(cu.m)")</f>
        <v>(cu.f)</v>
      </c>
      <c r="W39" s="17"/>
      <c r="X39" s="17"/>
      <c r="Y39" s="17"/>
      <c r="Z39" s="17"/>
      <c r="AA39" s="17"/>
      <c r="AB39" s="192">
        <f>IF(Draft!$S$3=2, 'LB Calcs'!G5,'LB Calcs'!I5)</f>
        <v>157.34106472788119</v>
      </c>
      <c r="AC39" s="193"/>
      <c r="AD39" s="7" t="str">
        <f>IF(Draft!$S$3=2,"(cu.f)","(cu.m)")</f>
        <v>(cu.f)</v>
      </c>
      <c r="AE39" s="17"/>
      <c r="AF39" s="17"/>
      <c r="AG39" s="17"/>
      <c r="AH39" s="17"/>
      <c r="AI39" s="17"/>
      <c r="AJ39" s="192">
        <f>IF(Draft!$S$3=2, 'LB Calcs'!G4,'LB Calcs'!I4)</f>
        <v>27271.200000000001</v>
      </c>
      <c r="AK39" s="193"/>
      <c r="AL39" s="7" t="str">
        <f>IF(Draft!$S$3=2,"(cu.f)","(cu.m)")</f>
        <v>(cu.f)</v>
      </c>
      <c r="AM39" s="17"/>
      <c r="AN39" s="17"/>
      <c r="AO39" s="17"/>
      <c r="AP39" s="17"/>
      <c r="AQ39" s="192">
        <f>IF(Draft!$S$3=2,'LB Calcs'!G8,'LB Calcs'!I8)</f>
        <v>43309.129029049145</v>
      </c>
      <c r="AR39" s="194"/>
      <c r="AS39" s="194"/>
      <c r="AT39" s="7" t="str">
        <f>IF(Draft!$S$3=2,"(cu.f)","(cu.m)")</f>
        <v>(cu.f)</v>
      </c>
      <c r="AU39" s="17"/>
      <c r="AV39" s="17"/>
      <c r="AW39" s="17"/>
      <c r="AX39" s="17"/>
      <c r="AY39" s="17"/>
      <c r="AZ39" s="17"/>
      <c r="BA39" s="17"/>
      <c r="BB39" s="17"/>
      <c r="BC39" s="17"/>
      <c r="BD39" s="74"/>
    </row>
    <row r="40" spans="1:56" ht="8.25" customHeight="1">
      <c r="F40" s="73"/>
      <c r="G40" s="17"/>
      <c r="H40" s="17"/>
      <c r="I40" s="17"/>
      <c r="J40" s="17"/>
      <c r="K40" s="17"/>
      <c r="L40" s="17"/>
      <c r="M40" s="17"/>
      <c r="N40" s="17"/>
      <c r="O40" s="17"/>
      <c r="P40" s="17"/>
      <c r="Q40" s="17"/>
      <c r="R40" s="17"/>
      <c r="S40" s="17"/>
      <c r="T40" s="17"/>
      <c r="U40" s="17"/>
      <c r="V40" s="17"/>
      <c r="W40" s="17"/>
      <c r="X40" s="17"/>
      <c r="Y40" s="17"/>
      <c r="Z40" s="17"/>
      <c r="AA40" s="17"/>
      <c r="AB40" s="17"/>
      <c r="AC40" s="17"/>
      <c r="AD40" s="17"/>
      <c r="AE40" s="17"/>
      <c r="AF40" s="17"/>
      <c r="AG40" s="17"/>
      <c r="AH40" s="17"/>
      <c r="AI40" s="17"/>
      <c r="AJ40" s="17"/>
      <c r="AK40" s="17"/>
      <c r="AL40" s="17"/>
      <c r="AM40" s="17"/>
      <c r="AN40" s="17"/>
      <c r="AO40" s="17"/>
      <c r="AP40" s="17"/>
      <c r="AQ40" s="17"/>
      <c r="AR40" s="17"/>
      <c r="AS40" s="17"/>
      <c r="AT40" s="17"/>
      <c r="AU40" s="17"/>
      <c r="AV40" s="17"/>
      <c r="AW40" s="17"/>
      <c r="AX40" s="17"/>
      <c r="AY40" s="17"/>
      <c r="AZ40" s="17"/>
      <c r="BA40" s="17"/>
      <c r="BB40" s="17"/>
      <c r="BC40" s="17"/>
      <c r="BD40" s="74"/>
    </row>
    <row r="41" spans="1:56" ht="16.5" customHeight="1">
      <c r="F41" s="73"/>
      <c r="G41" s="17"/>
      <c r="H41" s="17"/>
      <c r="I41" s="17"/>
      <c r="J41" s="17"/>
      <c r="K41" s="17"/>
      <c r="L41" s="17"/>
      <c r="M41" s="17"/>
      <c r="N41" s="17"/>
      <c r="O41" s="17"/>
      <c r="P41" s="17"/>
      <c r="Q41" s="17"/>
      <c r="R41" s="17"/>
      <c r="S41" s="17"/>
      <c r="T41" s="17"/>
      <c r="U41" s="17"/>
      <c r="V41" s="17"/>
      <c r="W41" s="17"/>
      <c r="X41" s="17"/>
      <c r="Y41" s="17"/>
      <c r="Z41" s="17"/>
      <c r="AA41" s="17"/>
      <c r="AB41" s="17"/>
      <c r="AC41" s="17"/>
      <c r="AD41" s="17"/>
      <c r="AE41" s="17"/>
      <c r="AF41" s="17"/>
      <c r="AG41" s="17"/>
      <c r="AH41" s="17"/>
      <c r="AI41" s="17"/>
      <c r="AJ41" s="17"/>
      <c r="AK41" s="17"/>
      <c r="AL41" s="17"/>
      <c r="AM41" s="17"/>
      <c r="AN41" s="17"/>
      <c r="AO41" s="17"/>
      <c r="AP41" s="17"/>
      <c r="AQ41" s="17"/>
      <c r="AR41" s="17"/>
      <c r="AS41" s="17"/>
      <c r="AT41" s="17"/>
      <c r="AU41" s="17"/>
      <c r="AV41" s="17"/>
      <c r="AW41" s="17"/>
      <c r="AX41" s="17"/>
      <c r="AY41" s="17"/>
      <c r="AZ41" s="17"/>
      <c r="BA41" s="17"/>
      <c r="BB41" s="17"/>
      <c r="BC41" s="17"/>
      <c r="BD41" s="74"/>
    </row>
    <row r="42" spans="1:56" ht="9" customHeight="1">
      <c r="F42" s="90" t="s">
        <v>181</v>
      </c>
      <c r="G42" s="89"/>
      <c r="H42" s="17"/>
      <c r="I42" s="17"/>
      <c r="J42" s="17"/>
      <c r="K42" s="17"/>
      <c r="L42" s="17"/>
      <c r="M42" s="17"/>
      <c r="N42" s="17"/>
      <c r="O42" s="17"/>
      <c r="P42" s="17"/>
      <c r="Q42" s="17"/>
      <c r="R42" s="17"/>
      <c r="S42" s="17"/>
      <c r="T42" s="17"/>
      <c r="U42" s="17"/>
      <c r="V42" s="17"/>
      <c r="W42" s="17"/>
      <c r="X42" s="17"/>
      <c r="Y42" s="17"/>
      <c r="Z42" s="17"/>
      <c r="AA42" s="17"/>
      <c r="AB42" s="17"/>
      <c r="AC42" s="17"/>
      <c r="AD42" s="17"/>
      <c r="AE42" s="17"/>
      <c r="AF42" s="17"/>
      <c r="AG42" s="17"/>
      <c r="AH42" s="17"/>
      <c r="AI42" s="17"/>
      <c r="AJ42" s="17"/>
      <c r="AK42" s="17"/>
      <c r="AL42" s="17"/>
      <c r="AM42" s="17"/>
      <c r="AN42" s="17"/>
      <c r="AO42" s="17"/>
      <c r="AP42" s="17"/>
      <c r="AQ42" s="17"/>
      <c r="AR42" s="17"/>
      <c r="AS42" s="17"/>
      <c r="AT42" s="17"/>
      <c r="AU42" s="17"/>
      <c r="AV42" s="17"/>
      <c r="AW42" s="17"/>
      <c r="AX42" s="17"/>
      <c r="AY42" s="17"/>
      <c r="AZ42" s="17"/>
      <c r="BA42" s="17"/>
      <c r="BB42" s="17"/>
      <c r="BC42" s="17"/>
      <c r="BD42" s="74"/>
    </row>
    <row r="43" spans="1:56" ht="18.75" customHeight="1">
      <c r="F43" s="73"/>
      <c r="G43" s="17"/>
      <c r="H43" s="17"/>
      <c r="I43" s="192">
        <f>'LB Calcs'!G32</f>
        <v>240</v>
      </c>
      <c r="J43" s="193"/>
      <c r="K43" s="17"/>
      <c r="L43" s="17"/>
      <c r="M43" s="17"/>
      <c r="N43"/>
      <c r="O43" s="183">
        <f>'LB Calcs'!G33</f>
        <v>24</v>
      </c>
      <c r="P43"/>
      <c r="Q43"/>
      <c r="R43" s="17"/>
      <c r="S43"/>
      <c r="T43" s="197">
        <f>IF(Draft!$S$3=2,'LB Calcs'!G10,'LB Calcs'!I10)</f>
        <v>1470.4248115112277</v>
      </c>
      <c r="U43" s="197"/>
      <c r="V43" s="7" t="str">
        <f>IF(Draft!$S$3=2,"(cu.y)","(cu.m)")</f>
        <v>(cu.y)</v>
      </c>
      <c r="W43" s="17"/>
      <c r="X43"/>
      <c r="Y43"/>
      <c r="Z43"/>
      <c r="AA43" s="197">
        <f>IF(Draft!$S$3=2,'LB Calcs'!G11,'LB Calcs'!I11)</f>
        <v>4947.4284637191349</v>
      </c>
      <c r="AB43" s="197"/>
      <c r="AC43" s="7" t="str">
        <f>IF(Draft!$S$3=2,"(sq.y)","(sq.m)")</f>
        <v>(sq.y)</v>
      </c>
      <c r="AD43"/>
      <c r="AE43"/>
      <c r="AF43"/>
      <c r="AG43" s="178"/>
      <c r="AH43" s="196">
        <f>IF(Draft!$S$3=2,'LB Calcs'!G40,'LB Calcs'!I38)</f>
        <v>275.70356666666663</v>
      </c>
      <c r="AI43" s="196"/>
      <c r="AJ43" s="185" t="str">
        <f>IF(Draft!$S$3=2,"(ft)","(m)")</f>
        <v>(ft)</v>
      </c>
      <c r="AK43"/>
      <c r="AL43" s="7"/>
      <c r="AM43" s="17"/>
      <c r="AN43" s="195">
        <f>'LB Calcs'!G67</f>
        <v>124</v>
      </c>
      <c r="AO43" s="195"/>
      <c r="AP43" s="184" t="str">
        <f>IF(Draft!$S$3=2,"(ft)","(m)")</f>
        <v>(ft)</v>
      </c>
      <c r="AQ43"/>
      <c r="AR43" s="17"/>
      <c r="AS43" s="17"/>
      <c r="AT43" s="203">
        <f>'LB Calcs'!G70</f>
        <v>147</v>
      </c>
      <c r="AU43" s="203"/>
      <c r="AV43" s="185" t="str">
        <f>IF(Draft!$S$3=2,"(ft)","(m)")</f>
        <v>(ft)</v>
      </c>
      <c r="AW43"/>
      <c r="AX43"/>
      <c r="AY43"/>
      <c r="AZ43"/>
      <c r="BA43" s="203">
        <f>'LB Calcs'!G71</f>
        <v>18228</v>
      </c>
      <c r="BB43" s="203"/>
      <c r="BC43" s="7" t="str">
        <f>IF(Draft!$S$3=2,"(sq.ft)","(sq.m)")</f>
        <v>(sq.ft)</v>
      </c>
      <c r="BD43" s="74"/>
    </row>
    <row r="44" spans="1:56" ht="27" customHeight="1">
      <c r="F44" s="90" t="s">
        <v>180</v>
      </c>
      <c r="G44" s="89"/>
      <c r="H44" s="17"/>
      <c r="I44" s="17"/>
      <c r="J44" s="17"/>
      <c r="K44" s="17"/>
      <c r="L44" s="17"/>
      <c r="M44" s="17"/>
      <c r="N44" s="17"/>
      <c r="O44" s="17"/>
      <c r="P44" s="17"/>
      <c r="Q44" s="17"/>
      <c r="R44" s="17"/>
      <c r="S44" s="17"/>
      <c r="T44" s="17"/>
      <c r="U44" s="17"/>
      <c r="V44" s="17"/>
      <c r="W44" s="17"/>
      <c r="X44" s="17"/>
      <c r="Y44" s="17"/>
      <c r="Z44" s="17"/>
      <c r="AA44" s="17"/>
      <c r="AB44" s="17"/>
      <c r="AC44" s="17"/>
      <c r="AD44" s="17"/>
      <c r="AE44" s="17"/>
      <c r="AF44" s="17"/>
      <c r="AG44" s="17"/>
      <c r="AH44" s="17"/>
      <c r="AI44" s="17"/>
      <c r="AJ44" s="17"/>
      <c r="AK44" s="17"/>
      <c r="AL44" s="17"/>
      <c r="AM44" s="17"/>
      <c r="AN44" s="17"/>
      <c r="AO44" s="17"/>
      <c r="AP44" s="17"/>
      <c r="AQ44" s="17"/>
      <c r="AR44" s="17"/>
      <c r="AS44" s="17"/>
      <c r="AT44" s="17"/>
      <c r="AU44" s="17"/>
      <c r="AV44" s="17"/>
      <c r="AW44" s="17"/>
      <c r="AX44" s="17"/>
      <c r="AY44" s="17"/>
      <c r="AZ44" s="17"/>
      <c r="BA44" s="17"/>
      <c r="BB44" s="17"/>
      <c r="BC44" s="17"/>
      <c r="BD44" s="74"/>
    </row>
    <row r="45" spans="1:56" ht="18.75" customHeight="1">
      <c r="F45" s="73"/>
      <c r="G45" s="17"/>
      <c r="H45" s="17"/>
      <c r="I45" s="17"/>
      <c r="J45" s="17"/>
      <c r="K45" s="17"/>
      <c r="L45" s="17"/>
      <c r="M45" s="17"/>
      <c r="N45" s="17"/>
      <c r="O45" s="17"/>
      <c r="P45" s="17"/>
      <c r="Q45" s="17"/>
      <c r="R45" s="17"/>
      <c r="S45" s="17"/>
      <c r="T45" s="17"/>
      <c r="U45" s="17"/>
      <c r="V45" s="17"/>
      <c r="W45" s="17"/>
      <c r="X45" s="17"/>
      <c r="Y45" s="17"/>
      <c r="Z45" s="17"/>
      <c r="AA45" s="17"/>
      <c r="AB45" s="17"/>
      <c r="AC45" s="17"/>
      <c r="AD45" s="17"/>
      <c r="AE45" s="17"/>
      <c r="AF45" s="17"/>
      <c r="AG45" s="17"/>
      <c r="AH45" s="17"/>
      <c r="AI45" s="17"/>
      <c r="AJ45" s="17"/>
      <c r="AK45" s="17"/>
      <c r="AL45" s="17"/>
      <c r="AM45" s="17"/>
      <c r="AN45" s="17"/>
      <c r="AO45" s="17"/>
      <c r="AP45" s="17"/>
      <c r="AQ45" s="17"/>
      <c r="AR45" s="17"/>
      <c r="AS45" s="17"/>
      <c r="AT45" s="17"/>
      <c r="AU45" s="17"/>
      <c r="AV45" s="17"/>
      <c r="AW45" s="17"/>
      <c r="AX45" s="17"/>
      <c r="AY45" s="17"/>
      <c r="AZ45" s="17"/>
      <c r="BA45" s="17"/>
      <c r="BB45" s="17"/>
      <c r="BC45" s="17"/>
      <c r="BD45" s="75"/>
    </row>
    <row r="46" spans="1:56" ht="12" thickBot="1">
      <c r="F46" s="76"/>
      <c r="G46" s="77"/>
      <c r="H46" s="77"/>
      <c r="I46" s="77"/>
      <c r="J46" s="77"/>
      <c r="K46" s="77"/>
      <c r="L46" s="77"/>
      <c r="M46" s="77"/>
      <c r="N46" s="77"/>
      <c r="O46" s="77"/>
      <c r="P46" s="77"/>
      <c r="Q46" s="77"/>
      <c r="R46" s="77"/>
      <c r="S46" s="77"/>
      <c r="T46" s="77"/>
      <c r="U46" s="77"/>
      <c r="V46" s="77"/>
      <c r="W46" s="77"/>
      <c r="X46" s="77"/>
      <c r="Y46" s="77"/>
      <c r="Z46" s="77"/>
      <c r="AA46" s="77"/>
      <c r="AB46" s="77"/>
      <c r="AC46" s="77"/>
      <c r="AD46" s="77"/>
      <c r="AE46" s="77"/>
      <c r="AF46" s="77"/>
      <c r="AG46" s="77"/>
      <c r="AH46" s="77"/>
      <c r="AI46" s="77"/>
      <c r="AJ46" s="77"/>
      <c r="AK46" s="77"/>
      <c r="AL46" s="77"/>
      <c r="AM46" s="77"/>
      <c r="AN46" s="77"/>
      <c r="AO46" s="77"/>
      <c r="AP46" s="77"/>
      <c r="AQ46" s="77"/>
      <c r="AR46" s="77"/>
      <c r="AS46" s="77"/>
      <c r="AT46" s="77"/>
      <c r="AU46" s="77"/>
      <c r="AV46" s="77"/>
      <c r="AW46" s="77"/>
      <c r="AX46" s="77"/>
      <c r="AY46" s="77"/>
      <c r="AZ46" s="77"/>
      <c r="BA46" s="77"/>
      <c r="BB46" s="77"/>
      <c r="BC46" s="77"/>
      <c r="BD46" s="153" t="s">
        <v>276</v>
      </c>
    </row>
    <row r="47" spans="1:56" s="59" customFormat="1" ht="12" thickTop="1">
      <c r="A47" s="61"/>
      <c r="B47" s="61"/>
      <c r="C47" s="61"/>
      <c r="D47" s="61"/>
      <c r="E47" s="61"/>
    </row>
    <row r="48" spans="1:56" s="59" customFormat="1">
      <c r="A48" s="61"/>
      <c r="B48" s="61"/>
      <c r="C48" s="61"/>
      <c r="D48" s="61"/>
      <c r="E48" s="61"/>
    </row>
    <row r="49" spans="1:5" s="59" customFormat="1">
      <c r="A49" s="61"/>
      <c r="B49" s="61"/>
      <c r="C49" s="61"/>
      <c r="D49" s="61"/>
      <c r="E49" s="61"/>
    </row>
    <row r="50" spans="1:5" s="59" customFormat="1">
      <c r="A50" s="61"/>
      <c r="B50" s="61"/>
      <c r="C50" s="61"/>
      <c r="D50" s="61"/>
      <c r="E50" s="61"/>
    </row>
    <row r="51" spans="1:5" s="59" customFormat="1">
      <c r="A51" s="61"/>
      <c r="B51" s="61"/>
      <c r="C51" s="61"/>
      <c r="D51" s="61"/>
      <c r="E51" s="61"/>
    </row>
    <row r="52" spans="1:5" s="59" customFormat="1">
      <c r="A52" s="61"/>
      <c r="B52" s="61"/>
      <c r="C52" s="61"/>
      <c r="D52" s="61"/>
      <c r="E52" s="61"/>
    </row>
    <row r="53" spans="1:5" s="59" customFormat="1">
      <c r="A53" s="61"/>
      <c r="B53" s="61"/>
      <c r="C53" s="61"/>
      <c r="D53" s="61"/>
      <c r="E53" s="61"/>
    </row>
    <row r="54" spans="1:5" s="59" customFormat="1">
      <c r="A54" s="61"/>
      <c r="B54" s="61"/>
      <c r="C54" s="61"/>
      <c r="D54" s="61"/>
      <c r="E54" s="61"/>
    </row>
    <row r="55" spans="1:5" s="59" customFormat="1">
      <c r="A55" s="61"/>
      <c r="B55" s="61"/>
      <c r="C55" s="61"/>
      <c r="D55" s="61"/>
      <c r="E55" s="61"/>
    </row>
    <row r="56" spans="1:5" s="59" customFormat="1">
      <c r="A56" s="61"/>
      <c r="B56" s="61"/>
      <c r="C56" s="61"/>
      <c r="D56" s="61"/>
      <c r="E56" s="61"/>
    </row>
    <row r="57" spans="1:5" s="59" customFormat="1">
      <c r="A57" s="61"/>
      <c r="B57" s="61"/>
      <c r="C57" s="61"/>
      <c r="D57" s="61"/>
      <c r="E57" s="61"/>
    </row>
    <row r="58" spans="1:5" s="59" customFormat="1">
      <c r="A58" s="61"/>
      <c r="B58" s="61"/>
      <c r="C58" s="61"/>
      <c r="D58" s="61"/>
      <c r="E58" s="61"/>
    </row>
    <row r="59" spans="1:5" s="59" customFormat="1">
      <c r="A59" s="61"/>
      <c r="B59" s="61"/>
      <c r="C59" s="61"/>
      <c r="D59" s="61"/>
      <c r="E59" s="61"/>
    </row>
    <row r="60" spans="1:5" s="59" customFormat="1">
      <c r="A60" s="61"/>
      <c r="B60" s="61"/>
      <c r="C60" s="61"/>
      <c r="D60" s="61"/>
      <c r="E60" s="61"/>
    </row>
    <row r="61" spans="1:5" s="59" customFormat="1">
      <c r="A61" s="61"/>
      <c r="B61" s="61"/>
      <c r="C61" s="61"/>
      <c r="D61" s="61"/>
      <c r="E61" s="61"/>
    </row>
    <row r="62" spans="1:5" s="59" customFormat="1">
      <c r="A62" s="61"/>
      <c r="B62" s="61"/>
      <c r="C62" s="61"/>
      <c r="D62" s="61"/>
      <c r="E62" s="61"/>
    </row>
    <row r="63" spans="1:5" s="59" customFormat="1">
      <c r="A63" s="61"/>
      <c r="B63" s="61"/>
      <c r="C63" s="61"/>
      <c r="D63" s="61"/>
      <c r="E63" s="61"/>
    </row>
    <row r="64" spans="1:5" s="59" customFormat="1">
      <c r="A64" s="61"/>
      <c r="B64" s="61"/>
      <c r="C64" s="61"/>
      <c r="D64" s="61"/>
      <c r="E64" s="61"/>
    </row>
    <row r="65" spans="1:5" s="59" customFormat="1">
      <c r="A65" s="61"/>
      <c r="B65" s="61"/>
      <c r="C65" s="61"/>
      <c r="D65" s="61"/>
      <c r="E65" s="61"/>
    </row>
    <row r="66" spans="1:5" s="59" customFormat="1">
      <c r="A66" s="61"/>
      <c r="B66" s="61"/>
      <c r="C66" s="61"/>
      <c r="D66" s="61"/>
      <c r="E66" s="61"/>
    </row>
    <row r="67" spans="1:5" s="59" customFormat="1">
      <c r="A67" s="61"/>
      <c r="B67" s="61"/>
      <c r="C67" s="61"/>
      <c r="D67" s="61"/>
      <c r="E67" s="61"/>
    </row>
    <row r="68" spans="1:5" s="59" customFormat="1">
      <c r="A68" s="61"/>
      <c r="B68" s="61"/>
      <c r="C68" s="61"/>
      <c r="D68" s="61"/>
      <c r="E68" s="61"/>
    </row>
    <row r="69" spans="1:5" s="59" customFormat="1">
      <c r="A69" s="61"/>
      <c r="B69" s="61"/>
      <c r="C69" s="61"/>
      <c r="D69" s="61"/>
      <c r="E69" s="61"/>
    </row>
    <row r="70" spans="1:5" s="59" customFormat="1">
      <c r="A70" s="61"/>
      <c r="B70" s="61"/>
      <c r="C70" s="61"/>
      <c r="D70" s="61"/>
      <c r="E70" s="61"/>
    </row>
    <row r="71" spans="1:5" s="59" customFormat="1">
      <c r="A71" s="61"/>
      <c r="B71" s="61"/>
      <c r="C71" s="61"/>
      <c r="D71" s="61"/>
      <c r="E71" s="61"/>
    </row>
    <row r="72" spans="1:5" s="59" customFormat="1">
      <c r="A72" s="61"/>
      <c r="B72" s="61"/>
      <c r="C72" s="61"/>
      <c r="D72" s="61"/>
      <c r="E72" s="61"/>
    </row>
    <row r="73" spans="1:5" s="59" customFormat="1">
      <c r="A73" s="61"/>
      <c r="B73" s="61"/>
      <c r="C73" s="61"/>
      <c r="D73" s="61"/>
      <c r="E73" s="61"/>
    </row>
    <row r="74" spans="1:5" s="59" customFormat="1">
      <c r="A74" s="61"/>
      <c r="B74" s="61"/>
      <c r="C74" s="61"/>
      <c r="D74" s="61"/>
      <c r="E74" s="61"/>
    </row>
    <row r="75" spans="1:5" s="59" customFormat="1">
      <c r="A75" s="61"/>
      <c r="B75" s="61"/>
      <c r="C75" s="61"/>
      <c r="D75" s="61"/>
      <c r="E75" s="61"/>
    </row>
    <row r="76" spans="1:5" s="59" customFormat="1">
      <c r="A76" s="61"/>
      <c r="B76" s="61"/>
      <c r="C76" s="61"/>
      <c r="D76" s="61"/>
      <c r="E76" s="61"/>
    </row>
    <row r="77" spans="1:5" s="59" customFormat="1">
      <c r="A77" s="61"/>
      <c r="B77" s="61"/>
      <c r="C77" s="61"/>
      <c r="D77" s="61"/>
      <c r="E77" s="61"/>
    </row>
    <row r="78" spans="1:5" s="59" customFormat="1">
      <c r="A78" s="61"/>
      <c r="B78" s="61"/>
      <c r="C78" s="61"/>
      <c r="D78" s="61"/>
      <c r="E78" s="61"/>
    </row>
    <row r="79" spans="1:5" s="59" customFormat="1">
      <c r="A79" s="61"/>
      <c r="B79" s="61"/>
      <c r="C79" s="61"/>
      <c r="D79" s="61"/>
      <c r="E79" s="61"/>
    </row>
    <row r="80" spans="1:5" s="59" customFormat="1">
      <c r="A80" s="61"/>
      <c r="B80" s="61"/>
      <c r="C80" s="61"/>
      <c r="D80" s="61"/>
      <c r="E80" s="61"/>
    </row>
    <row r="81" spans="1:5" s="59" customFormat="1">
      <c r="A81" s="61"/>
      <c r="B81" s="61"/>
      <c r="C81" s="61"/>
      <c r="D81" s="61"/>
      <c r="E81" s="61"/>
    </row>
    <row r="82" spans="1:5" s="59" customFormat="1">
      <c r="A82" s="61"/>
      <c r="B82" s="61"/>
      <c r="C82" s="61"/>
      <c r="D82" s="61"/>
      <c r="E82" s="61"/>
    </row>
    <row r="83" spans="1:5" s="59" customFormat="1">
      <c r="A83" s="61"/>
      <c r="B83" s="61"/>
      <c r="C83" s="61"/>
      <c r="D83" s="61"/>
      <c r="E83" s="61"/>
    </row>
    <row r="84" spans="1:5" s="59" customFormat="1">
      <c r="A84" s="61"/>
      <c r="B84" s="61"/>
      <c r="C84" s="61"/>
      <c r="D84" s="61"/>
      <c r="E84" s="61"/>
    </row>
    <row r="85" spans="1:5" s="59" customFormat="1">
      <c r="A85" s="61"/>
      <c r="B85" s="61"/>
      <c r="C85" s="61"/>
      <c r="D85" s="61"/>
      <c r="E85" s="61"/>
    </row>
    <row r="86" spans="1:5" s="59" customFormat="1">
      <c r="A86" s="61"/>
      <c r="B86" s="61"/>
      <c r="C86" s="61"/>
      <c r="D86" s="61"/>
      <c r="E86" s="61"/>
    </row>
    <row r="87" spans="1:5" s="59" customFormat="1">
      <c r="A87" s="61"/>
      <c r="B87" s="61"/>
      <c r="C87" s="61"/>
      <c r="D87" s="61"/>
      <c r="E87" s="61"/>
    </row>
    <row r="88" spans="1:5" s="59" customFormat="1">
      <c r="A88" s="61"/>
      <c r="B88" s="61"/>
      <c r="C88" s="61"/>
      <c r="D88" s="61"/>
      <c r="E88" s="61"/>
    </row>
    <row r="89" spans="1:5" s="59" customFormat="1">
      <c r="A89" s="61"/>
      <c r="B89" s="61"/>
      <c r="C89" s="61"/>
      <c r="D89" s="61"/>
      <c r="E89" s="61"/>
    </row>
    <row r="90" spans="1:5" s="59" customFormat="1">
      <c r="A90" s="61"/>
      <c r="B90" s="61"/>
      <c r="C90" s="61"/>
      <c r="D90" s="61"/>
      <c r="E90" s="61"/>
    </row>
    <row r="91" spans="1:5" s="59" customFormat="1">
      <c r="A91" s="61"/>
      <c r="B91" s="61"/>
      <c r="C91" s="61"/>
      <c r="D91" s="61"/>
      <c r="E91" s="61"/>
    </row>
    <row r="92" spans="1:5" s="59" customFormat="1">
      <c r="A92" s="61"/>
      <c r="B92" s="61"/>
      <c r="C92" s="61"/>
      <c r="D92" s="61"/>
      <c r="E92" s="61"/>
    </row>
    <row r="93" spans="1:5" s="59" customFormat="1">
      <c r="A93" s="61"/>
      <c r="B93" s="61"/>
      <c r="C93" s="61"/>
      <c r="D93" s="61"/>
      <c r="E93" s="61"/>
    </row>
    <row r="94" spans="1:5" s="59" customFormat="1">
      <c r="A94" s="61"/>
      <c r="B94" s="61"/>
      <c r="C94" s="61"/>
      <c r="D94" s="61"/>
      <c r="E94" s="61"/>
    </row>
    <row r="95" spans="1:5" s="59" customFormat="1">
      <c r="A95" s="61"/>
      <c r="B95" s="61"/>
      <c r="C95" s="61"/>
      <c r="D95" s="61"/>
      <c r="E95" s="61"/>
    </row>
    <row r="96" spans="1:5" s="59" customFormat="1">
      <c r="A96" s="61"/>
      <c r="B96" s="61"/>
      <c r="C96" s="61"/>
      <c r="D96" s="61"/>
      <c r="E96" s="61"/>
    </row>
    <row r="97" spans="1:5" s="59" customFormat="1">
      <c r="A97" s="61"/>
      <c r="B97" s="61"/>
      <c r="C97" s="61"/>
      <c r="D97" s="61"/>
      <c r="E97" s="61"/>
    </row>
    <row r="98" spans="1:5" s="59" customFormat="1">
      <c r="A98" s="61"/>
      <c r="B98" s="61"/>
      <c r="C98" s="61"/>
      <c r="D98" s="61"/>
      <c r="E98" s="61"/>
    </row>
    <row r="99" spans="1:5" s="59" customFormat="1">
      <c r="A99" s="61"/>
      <c r="B99" s="61"/>
      <c r="C99" s="61"/>
      <c r="D99" s="61"/>
      <c r="E99" s="61"/>
    </row>
    <row r="100" spans="1:5" s="59" customFormat="1">
      <c r="A100" s="61"/>
      <c r="B100" s="61"/>
      <c r="C100" s="61"/>
      <c r="D100" s="61"/>
      <c r="E100" s="61"/>
    </row>
    <row r="101" spans="1:5" s="59" customFormat="1">
      <c r="A101" s="61"/>
      <c r="B101" s="61"/>
      <c r="C101" s="61"/>
      <c r="D101" s="61"/>
      <c r="E101" s="61"/>
    </row>
    <row r="102" spans="1:5" s="59" customFormat="1">
      <c r="A102" s="61"/>
      <c r="B102" s="61"/>
      <c r="C102" s="61"/>
      <c r="D102" s="61"/>
      <c r="E102" s="61"/>
    </row>
    <row r="103" spans="1:5" s="59" customFormat="1">
      <c r="A103" s="61"/>
      <c r="B103" s="61"/>
      <c r="C103" s="61"/>
      <c r="D103" s="61"/>
      <c r="E103" s="61"/>
    </row>
    <row r="104" spans="1:5" s="59" customFormat="1">
      <c r="A104" s="61"/>
      <c r="B104" s="61"/>
      <c r="C104" s="61"/>
      <c r="D104" s="61"/>
      <c r="E104" s="61"/>
    </row>
    <row r="105" spans="1:5" s="59" customFormat="1">
      <c r="A105" s="61"/>
      <c r="B105" s="61"/>
      <c r="C105" s="61"/>
      <c r="D105" s="61"/>
      <c r="E105" s="61"/>
    </row>
    <row r="106" spans="1:5" s="59" customFormat="1">
      <c r="A106" s="61"/>
      <c r="B106" s="61"/>
      <c r="C106" s="61"/>
      <c r="D106" s="61"/>
      <c r="E106" s="61"/>
    </row>
    <row r="107" spans="1:5" s="59" customFormat="1">
      <c r="A107" s="61"/>
      <c r="B107" s="61"/>
      <c r="C107" s="61"/>
      <c r="D107" s="61"/>
      <c r="E107" s="61"/>
    </row>
    <row r="108" spans="1:5" s="59" customFormat="1">
      <c r="A108" s="61"/>
      <c r="B108" s="61"/>
      <c r="C108" s="61"/>
      <c r="D108" s="61"/>
      <c r="E108" s="61"/>
    </row>
    <row r="109" spans="1:5" s="59" customFormat="1">
      <c r="A109" s="61"/>
      <c r="B109" s="61"/>
      <c r="C109" s="61"/>
      <c r="D109" s="61"/>
      <c r="E109" s="61"/>
    </row>
    <row r="110" spans="1:5" s="59" customFormat="1">
      <c r="A110" s="61"/>
      <c r="B110" s="61"/>
      <c r="C110" s="61"/>
      <c r="D110" s="61"/>
      <c r="E110" s="61"/>
    </row>
    <row r="111" spans="1:5" s="59" customFormat="1">
      <c r="A111" s="61"/>
      <c r="B111" s="61"/>
      <c r="C111" s="61"/>
      <c r="D111" s="61"/>
      <c r="E111" s="61"/>
    </row>
    <row r="112" spans="1:5" s="59" customFormat="1">
      <c r="A112" s="61"/>
      <c r="B112" s="61"/>
      <c r="C112" s="61"/>
      <c r="D112" s="61"/>
      <c r="E112" s="61"/>
    </row>
    <row r="113" spans="1:5" s="59" customFormat="1">
      <c r="A113" s="61"/>
      <c r="B113" s="61"/>
      <c r="C113" s="61"/>
      <c r="D113" s="61"/>
      <c r="E113" s="61"/>
    </row>
    <row r="114" spans="1:5" s="59" customFormat="1">
      <c r="A114" s="61"/>
      <c r="B114" s="61"/>
      <c r="C114" s="61"/>
      <c r="D114" s="61"/>
      <c r="E114" s="61"/>
    </row>
    <row r="115" spans="1:5" s="59" customFormat="1">
      <c r="A115" s="61"/>
      <c r="B115" s="61"/>
      <c r="C115" s="61"/>
      <c r="D115" s="61"/>
      <c r="E115" s="61"/>
    </row>
    <row r="116" spans="1:5" s="59" customFormat="1">
      <c r="A116" s="61"/>
      <c r="B116" s="61"/>
      <c r="C116" s="61"/>
      <c r="D116" s="61"/>
      <c r="E116" s="61"/>
    </row>
    <row r="117" spans="1:5" s="59" customFormat="1">
      <c r="A117" s="61"/>
      <c r="B117" s="61"/>
      <c r="C117" s="61"/>
      <c r="D117" s="61"/>
      <c r="E117" s="61"/>
    </row>
    <row r="118" spans="1:5" s="59" customFormat="1">
      <c r="A118" s="61"/>
      <c r="B118" s="61"/>
      <c r="C118" s="61"/>
      <c r="D118" s="61"/>
      <c r="E118" s="61"/>
    </row>
    <row r="119" spans="1:5" s="59" customFormat="1">
      <c r="A119" s="61"/>
      <c r="B119" s="61"/>
      <c r="C119" s="61"/>
      <c r="D119" s="61"/>
      <c r="E119" s="61"/>
    </row>
    <row r="120" spans="1:5" s="59" customFormat="1">
      <c r="A120" s="61"/>
      <c r="B120" s="61"/>
      <c r="C120" s="61"/>
      <c r="D120" s="61"/>
      <c r="E120" s="61"/>
    </row>
    <row r="121" spans="1:5" s="59" customFormat="1">
      <c r="A121" s="61"/>
      <c r="B121" s="61"/>
      <c r="C121" s="61"/>
      <c r="D121" s="61"/>
      <c r="E121" s="61"/>
    </row>
    <row r="122" spans="1:5" s="59" customFormat="1">
      <c r="A122" s="61"/>
      <c r="B122" s="61"/>
      <c r="C122" s="61"/>
      <c r="D122" s="61"/>
      <c r="E122" s="61"/>
    </row>
    <row r="123" spans="1:5" s="59" customFormat="1">
      <c r="A123" s="61"/>
      <c r="B123" s="61"/>
      <c r="C123" s="61"/>
      <c r="D123" s="61"/>
      <c r="E123" s="61"/>
    </row>
    <row r="124" spans="1:5" s="59" customFormat="1">
      <c r="A124" s="61"/>
      <c r="B124" s="61"/>
      <c r="C124" s="61"/>
      <c r="D124" s="61"/>
      <c r="E124" s="61"/>
    </row>
    <row r="125" spans="1:5" s="59" customFormat="1">
      <c r="A125" s="61"/>
      <c r="B125" s="61"/>
      <c r="C125" s="61"/>
      <c r="D125" s="61"/>
      <c r="E125" s="61"/>
    </row>
    <row r="126" spans="1:5" s="59" customFormat="1">
      <c r="A126" s="61"/>
      <c r="B126" s="61"/>
      <c r="C126" s="61"/>
      <c r="D126" s="61"/>
      <c r="E126" s="61"/>
    </row>
    <row r="127" spans="1:5" s="59" customFormat="1">
      <c r="A127" s="61"/>
      <c r="B127" s="61"/>
      <c r="C127" s="61"/>
      <c r="D127" s="61"/>
      <c r="E127" s="61"/>
    </row>
    <row r="128" spans="1:5" s="59" customFormat="1">
      <c r="A128" s="61"/>
      <c r="B128" s="61"/>
      <c r="C128" s="61"/>
      <c r="D128" s="61"/>
      <c r="E128" s="61"/>
    </row>
    <row r="129" spans="1:5" s="59" customFormat="1">
      <c r="A129" s="61"/>
      <c r="B129" s="61"/>
      <c r="C129" s="61"/>
      <c r="D129" s="61"/>
      <c r="E129" s="61"/>
    </row>
    <row r="130" spans="1:5" s="59" customFormat="1">
      <c r="A130" s="61"/>
      <c r="B130" s="61"/>
      <c r="C130" s="61"/>
      <c r="D130" s="61"/>
      <c r="E130" s="61"/>
    </row>
    <row r="131" spans="1:5" s="59" customFormat="1">
      <c r="A131" s="61"/>
      <c r="B131" s="61"/>
      <c r="C131" s="61"/>
      <c r="D131" s="61"/>
      <c r="E131" s="61"/>
    </row>
    <row r="132" spans="1:5" s="59" customFormat="1">
      <c r="A132" s="61"/>
      <c r="B132" s="61"/>
      <c r="C132" s="61"/>
      <c r="D132" s="61"/>
      <c r="E132" s="61"/>
    </row>
    <row r="133" spans="1:5" s="59" customFormat="1">
      <c r="A133" s="61"/>
      <c r="B133" s="61"/>
      <c r="C133" s="61"/>
      <c r="D133" s="61"/>
      <c r="E133" s="61"/>
    </row>
    <row r="134" spans="1:5" s="59" customFormat="1">
      <c r="A134" s="61"/>
      <c r="B134" s="61"/>
      <c r="C134" s="61"/>
      <c r="D134" s="61"/>
      <c r="E134" s="61"/>
    </row>
    <row r="135" spans="1:5" s="59" customFormat="1">
      <c r="A135" s="61"/>
      <c r="B135" s="61"/>
      <c r="C135" s="61"/>
      <c r="D135" s="61"/>
      <c r="E135" s="61"/>
    </row>
    <row r="136" spans="1:5" s="59" customFormat="1">
      <c r="A136" s="61"/>
      <c r="B136" s="61"/>
      <c r="C136" s="61"/>
      <c r="D136" s="61"/>
      <c r="E136" s="61"/>
    </row>
    <row r="137" spans="1:5" s="59" customFormat="1">
      <c r="A137" s="61"/>
      <c r="B137" s="61"/>
      <c r="C137" s="61"/>
      <c r="D137" s="61"/>
      <c r="E137" s="61"/>
    </row>
    <row r="138" spans="1:5" s="59" customFormat="1">
      <c r="A138" s="61"/>
      <c r="B138" s="61"/>
      <c r="C138" s="61"/>
      <c r="D138" s="61"/>
      <c r="E138" s="61"/>
    </row>
    <row r="139" spans="1:5" s="59" customFormat="1">
      <c r="A139" s="61"/>
      <c r="B139" s="61"/>
      <c r="C139" s="61"/>
      <c r="D139" s="61"/>
      <c r="E139" s="61"/>
    </row>
    <row r="140" spans="1:5" s="59" customFormat="1">
      <c r="A140" s="61"/>
      <c r="B140" s="61"/>
      <c r="C140" s="61"/>
      <c r="D140" s="61"/>
      <c r="E140" s="61"/>
    </row>
    <row r="141" spans="1:5" s="59" customFormat="1">
      <c r="A141" s="61"/>
      <c r="B141" s="61"/>
      <c r="C141" s="61"/>
      <c r="D141" s="61"/>
      <c r="E141" s="61"/>
    </row>
    <row r="142" spans="1:5" s="59" customFormat="1">
      <c r="A142" s="61"/>
      <c r="B142" s="61"/>
      <c r="C142" s="61"/>
      <c r="D142" s="61"/>
      <c r="E142" s="61"/>
    </row>
    <row r="143" spans="1:5" s="59" customFormat="1">
      <c r="A143" s="61"/>
      <c r="B143" s="61"/>
      <c r="C143" s="61"/>
      <c r="D143" s="61"/>
      <c r="E143" s="61"/>
    </row>
    <row r="144" spans="1:5" s="59" customFormat="1">
      <c r="A144" s="61"/>
      <c r="B144" s="61"/>
      <c r="C144" s="61"/>
      <c r="D144" s="61"/>
      <c r="E144" s="61"/>
    </row>
    <row r="145" spans="1:5" s="59" customFormat="1">
      <c r="A145" s="61"/>
      <c r="B145" s="61"/>
      <c r="C145" s="61"/>
      <c r="D145" s="61"/>
      <c r="E145" s="61"/>
    </row>
    <row r="146" spans="1:5" s="59" customFormat="1">
      <c r="A146" s="61"/>
      <c r="B146" s="61"/>
      <c r="C146" s="61"/>
      <c r="D146" s="61"/>
      <c r="E146" s="61"/>
    </row>
    <row r="147" spans="1:5" s="59" customFormat="1">
      <c r="A147" s="61"/>
      <c r="B147" s="61"/>
      <c r="C147" s="61"/>
      <c r="D147" s="61"/>
      <c r="E147" s="61"/>
    </row>
    <row r="148" spans="1:5" s="59" customFormat="1">
      <c r="A148" s="61"/>
      <c r="B148" s="61"/>
      <c r="C148" s="61"/>
      <c r="D148" s="61"/>
      <c r="E148" s="61"/>
    </row>
    <row r="149" spans="1:5" s="59" customFormat="1">
      <c r="A149" s="61"/>
      <c r="B149" s="61"/>
      <c r="C149" s="61"/>
      <c r="D149" s="61"/>
      <c r="E149" s="61"/>
    </row>
    <row r="150" spans="1:5" s="59" customFormat="1">
      <c r="A150" s="61"/>
      <c r="B150" s="61"/>
      <c r="C150" s="61"/>
      <c r="D150" s="61"/>
      <c r="E150" s="61"/>
    </row>
    <row r="151" spans="1:5" s="59" customFormat="1">
      <c r="A151" s="61"/>
      <c r="B151" s="61"/>
      <c r="C151" s="61"/>
      <c r="D151" s="61"/>
      <c r="E151" s="61"/>
    </row>
    <row r="152" spans="1:5" s="59" customFormat="1">
      <c r="A152" s="61"/>
      <c r="B152" s="61"/>
      <c r="C152" s="61"/>
      <c r="D152" s="61"/>
      <c r="E152" s="61"/>
    </row>
    <row r="153" spans="1:5" s="59" customFormat="1">
      <c r="A153" s="61"/>
      <c r="B153" s="61"/>
      <c r="C153" s="61"/>
      <c r="D153" s="61"/>
      <c r="E153" s="61"/>
    </row>
    <row r="154" spans="1:5" s="59" customFormat="1">
      <c r="A154" s="61"/>
      <c r="B154" s="61"/>
      <c r="C154" s="61"/>
      <c r="D154" s="61"/>
      <c r="E154" s="61"/>
    </row>
    <row r="155" spans="1:5" s="59" customFormat="1">
      <c r="A155" s="61"/>
      <c r="B155" s="61"/>
      <c r="C155" s="61"/>
      <c r="D155" s="61"/>
      <c r="E155" s="61"/>
    </row>
    <row r="156" spans="1:5" s="59" customFormat="1">
      <c r="A156" s="61"/>
      <c r="B156" s="61"/>
      <c r="C156" s="61"/>
      <c r="D156" s="61"/>
      <c r="E156" s="61"/>
    </row>
    <row r="157" spans="1:5" s="59" customFormat="1">
      <c r="A157" s="61"/>
      <c r="B157" s="61"/>
      <c r="C157" s="61"/>
      <c r="D157" s="61"/>
      <c r="E157" s="61"/>
    </row>
    <row r="158" spans="1:5" s="59" customFormat="1">
      <c r="A158" s="61"/>
      <c r="B158" s="61"/>
      <c r="C158" s="61"/>
      <c r="D158" s="61"/>
      <c r="E158" s="61"/>
    </row>
    <row r="159" spans="1:5" s="59" customFormat="1">
      <c r="A159" s="61"/>
      <c r="B159" s="61"/>
      <c r="C159" s="61"/>
      <c r="D159" s="61"/>
      <c r="E159" s="61"/>
    </row>
    <row r="160" spans="1:5" s="59" customFormat="1">
      <c r="A160" s="61"/>
      <c r="B160" s="61"/>
      <c r="C160" s="61"/>
      <c r="D160" s="61"/>
      <c r="E160" s="61"/>
    </row>
    <row r="161" spans="1:5" s="59" customFormat="1">
      <c r="A161" s="61"/>
      <c r="B161" s="61"/>
      <c r="C161" s="61"/>
      <c r="D161" s="61"/>
      <c r="E161" s="61"/>
    </row>
    <row r="162" spans="1:5" s="59" customFormat="1">
      <c r="A162" s="61"/>
      <c r="B162" s="61"/>
      <c r="C162" s="61"/>
      <c r="D162" s="61"/>
      <c r="E162" s="61"/>
    </row>
    <row r="163" spans="1:5" s="59" customFormat="1">
      <c r="A163" s="61"/>
      <c r="B163" s="61"/>
      <c r="C163" s="61"/>
      <c r="D163" s="61"/>
      <c r="E163" s="61"/>
    </row>
    <row r="164" spans="1:5" s="59" customFormat="1">
      <c r="A164" s="61"/>
      <c r="B164" s="61"/>
      <c r="C164" s="61"/>
      <c r="D164" s="61"/>
      <c r="E164" s="61"/>
    </row>
    <row r="165" spans="1:5" s="59" customFormat="1">
      <c r="A165" s="61"/>
      <c r="B165" s="61"/>
      <c r="C165" s="61"/>
      <c r="D165" s="61"/>
      <c r="E165" s="61"/>
    </row>
    <row r="166" spans="1:5" s="59" customFormat="1">
      <c r="A166" s="61"/>
      <c r="B166" s="61"/>
      <c r="C166" s="61"/>
      <c r="D166" s="61"/>
      <c r="E166" s="61"/>
    </row>
    <row r="167" spans="1:5" s="59" customFormat="1">
      <c r="A167" s="61"/>
      <c r="B167" s="61"/>
      <c r="C167" s="61"/>
      <c r="D167" s="61"/>
      <c r="E167" s="61"/>
    </row>
    <row r="168" spans="1:5" s="59" customFormat="1">
      <c r="A168" s="61"/>
      <c r="B168" s="61"/>
      <c r="C168" s="61"/>
      <c r="D168" s="61"/>
      <c r="E168" s="61"/>
    </row>
    <row r="169" spans="1:5" s="59" customFormat="1">
      <c r="A169" s="61"/>
      <c r="B169" s="61"/>
      <c r="C169" s="61"/>
      <c r="D169" s="61"/>
      <c r="E169" s="61"/>
    </row>
    <row r="170" spans="1:5" s="59" customFormat="1">
      <c r="A170" s="61"/>
      <c r="B170" s="61"/>
      <c r="C170" s="61"/>
      <c r="D170" s="61"/>
      <c r="E170" s="61"/>
    </row>
    <row r="171" spans="1:5" s="59" customFormat="1">
      <c r="A171" s="61"/>
      <c r="B171" s="61"/>
      <c r="C171" s="61"/>
      <c r="D171" s="61"/>
      <c r="E171" s="61"/>
    </row>
    <row r="172" spans="1:5" s="59" customFormat="1">
      <c r="A172" s="61"/>
      <c r="B172" s="61"/>
      <c r="C172" s="61"/>
      <c r="D172" s="61"/>
      <c r="E172" s="61"/>
    </row>
    <row r="173" spans="1:5" s="59" customFormat="1">
      <c r="A173" s="61"/>
      <c r="B173" s="61"/>
      <c r="C173" s="61"/>
      <c r="D173" s="61"/>
      <c r="E173" s="61"/>
    </row>
    <row r="174" spans="1:5" s="59" customFormat="1">
      <c r="A174" s="61"/>
      <c r="B174" s="61"/>
      <c r="C174" s="61"/>
      <c r="D174" s="61"/>
      <c r="E174" s="61"/>
    </row>
    <row r="175" spans="1:5" s="59" customFormat="1">
      <c r="A175" s="61"/>
      <c r="B175" s="61"/>
      <c r="C175" s="61"/>
      <c r="D175" s="61"/>
      <c r="E175" s="61"/>
    </row>
    <row r="176" spans="1:5" s="59" customFormat="1">
      <c r="A176" s="61"/>
      <c r="B176" s="61"/>
      <c r="C176" s="61"/>
      <c r="D176" s="61"/>
      <c r="E176" s="61"/>
    </row>
    <row r="177" spans="1:5" s="59" customFormat="1">
      <c r="A177" s="61"/>
      <c r="B177" s="61"/>
      <c r="C177" s="61"/>
      <c r="D177" s="61"/>
      <c r="E177" s="61"/>
    </row>
    <row r="178" spans="1:5" s="59" customFormat="1">
      <c r="A178" s="61"/>
      <c r="B178" s="61"/>
      <c r="C178" s="61"/>
      <c r="D178" s="61"/>
      <c r="E178" s="61"/>
    </row>
    <row r="179" spans="1:5" s="59" customFormat="1">
      <c r="A179" s="61"/>
      <c r="B179" s="61"/>
      <c r="C179" s="61"/>
      <c r="D179" s="61"/>
      <c r="E179" s="61"/>
    </row>
    <row r="180" spans="1:5" s="59" customFormat="1">
      <c r="A180" s="61"/>
      <c r="B180" s="61"/>
      <c r="C180" s="61"/>
      <c r="D180" s="61"/>
      <c r="E180" s="61"/>
    </row>
    <row r="181" spans="1:5" s="59" customFormat="1">
      <c r="A181" s="61"/>
      <c r="B181" s="61"/>
      <c r="C181" s="61"/>
      <c r="D181" s="61"/>
      <c r="E181" s="61"/>
    </row>
    <row r="182" spans="1:5" s="59" customFormat="1">
      <c r="A182" s="61"/>
      <c r="B182" s="61"/>
      <c r="C182" s="61"/>
      <c r="D182" s="61"/>
      <c r="E182" s="61"/>
    </row>
    <row r="183" spans="1:5" s="59" customFormat="1">
      <c r="A183" s="61"/>
      <c r="B183" s="61"/>
      <c r="C183" s="61"/>
      <c r="D183" s="61"/>
      <c r="E183" s="61"/>
    </row>
    <row r="184" spans="1:5" s="59" customFormat="1">
      <c r="A184" s="61"/>
      <c r="B184" s="61"/>
      <c r="C184" s="61"/>
      <c r="D184" s="61"/>
      <c r="E184" s="61"/>
    </row>
    <row r="185" spans="1:5" s="59" customFormat="1">
      <c r="A185" s="61"/>
      <c r="B185" s="61"/>
      <c r="C185" s="61"/>
      <c r="D185" s="61"/>
      <c r="E185" s="61"/>
    </row>
    <row r="186" spans="1:5" s="59" customFormat="1">
      <c r="A186" s="61"/>
      <c r="B186" s="61"/>
      <c r="C186" s="61"/>
      <c r="D186" s="61"/>
      <c r="E186" s="61"/>
    </row>
    <row r="187" spans="1:5" s="59" customFormat="1">
      <c r="A187" s="61"/>
      <c r="B187" s="61"/>
      <c r="C187" s="61"/>
      <c r="D187" s="61"/>
      <c r="E187" s="61"/>
    </row>
    <row r="188" spans="1:5" s="59" customFormat="1">
      <c r="A188" s="61"/>
      <c r="B188" s="61"/>
      <c r="C188" s="61"/>
      <c r="D188" s="61"/>
      <c r="E188" s="61"/>
    </row>
    <row r="189" spans="1:5" s="59" customFormat="1">
      <c r="A189" s="61"/>
      <c r="B189" s="61"/>
      <c r="C189" s="61"/>
      <c r="D189" s="61"/>
      <c r="E189" s="61"/>
    </row>
    <row r="190" spans="1:5" s="59" customFormat="1">
      <c r="A190" s="61"/>
      <c r="B190" s="61"/>
      <c r="C190" s="61"/>
      <c r="D190" s="61"/>
      <c r="E190" s="61"/>
    </row>
    <row r="191" spans="1:5" s="59" customFormat="1">
      <c r="A191" s="61"/>
      <c r="B191" s="61"/>
      <c r="C191" s="61"/>
      <c r="D191" s="61"/>
      <c r="E191" s="61"/>
    </row>
    <row r="192" spans="1:5" s="59" customFormat="1">
      <c r="A192" s="61"/>
      <c r="B192" s="61"/>
      <c r="C192" s="61"/>
      <c r="D192" s="61"/>
      <c r="E192" s="61"/>
    </row>
    <row r="193" spans="1:5" s="59" customFormat="1">
      <c r="A193" s="61"/>
      <c r="B193" s="61"/>
      <c r="C193" s="61"/>
      <c r="D193" s="61"/>
      <c r="E193" s="61"/>
    </row>
    <row r="194" spans="1:5" s="59" customFormat="1">
      <c r="A194" s="61"/>
      <c r="B194" s="61"/>
      <c r="C194" s="61"/>
      <c r="D194" s="61"/>
      <c r="E194" s="61"/>
    </row>
    <row r="195" spans="1:5" s="59" customFormat="1">
      <c r="A195" s="61"/>
      <c r="B195" s="61"/>
      <c r="C195" s="61"/>
      <c r="D195" s="61"/>
      <c r="E195" s="61"/>
    </row>
    <row r="196" spans="1:5" s="59" customFormat="1">
      <c r="A196" s="61"/>
      <c r="B196" s="61"/>
      <c r="C196" s="61"/>
      <c r="D196" s="61"/>
      <c r="E196" s="61"/>
    </row>
    <row r="197" spans="1:5" s="59" customFormat="1">
      <c r="A197" s="61"/>
      <c r="B197" s="61"/>
      <c r="C197" s="61"/>
      <c r="D197" s="61"/>
      <c r="E197" s="61"/>
    </row>
    <row r="198" spans="1:5" s="59" customFormat="1">
      <c r="A198" s="61"/>
      <c r="B198" s="61"/>
      <c r="C198" s="61"/>
      <c r="D198" s="61"/>
      <c r="E198" s="61"/>
    </row>
    <row r="199" spans="1:5" s="59" customFormat="1">
      <c r="A199" s="61"/>
      <c r="B199" s="61"/>
      <c r="C199" s="61"/>
      <c r="D199" s="61"/>
      <c r="E199" s="61"/>
    </row>
    <row r="200" spans="1:5" s="59" customFormat="1">
      <c r="A200" s="61"/>
      <c r="B200" s="61"/>
      <c r="C200" s="61"/>
      <c r="D200" s="61"/>
      <c r="E200" s="61"/>
    </row>
    <row r="201" spans="1:5" s="59" customFormat="1">
      <c r="A201" s="61"/>
      <c r="B201" s="61"/>
      <c r="C201" s="61"/>
      <c r="D201" s="61"/>
      <c r="E201" s="61"/>
    </row>
    <row r="202" spans="1:5" s="59" customFormat="1">
      <c r="A202" s="61"/>
      <c r="B202" s="61"/>
      <c r="C202" s="61"/>
      <c r="D202" s="61"/>
      <c r="E202" s="61"/>
    </row>
    <row r="203" spans="1:5" s="59" customFormat="1">
      <c r="A203" s="61"/>
      <c r="B203" s="61"/>
      <c r="C203" s="61"/>
      <c r="D203" s="61"/>
      <c r="E203" s="61"/>
    </row>
    <row r="204" spans="1:5" s="59" customFormat="1">
      <c r="A204" s="61"/>
      <c r="B204" s="61"/>
      <c r="C204" s="61"/>
      <c r="D204" s="61"/>
      <c r="E204" s="61"/>
    </row>
    <row r="205" spans="1:5" s="59" customFormat="1">
      <c r="A205" s="61"/>
      <c r="B205" s="61"/>
      <c r="C205" s="61"/>
      <c r="D205" s="61"/>
      <c r="E205" s="61"/>
    </row>
    <row r="206" spans="1:5" s="59" customFormat="1">
      <c r="A206" s="61"/>
      <c r="B206" s="61"/>
      <c r="C206" s="61"/>
      <c r="D206" s="61"/>
      <c r="E206" s="61"/>
    </row>
    <row r="207" spans="1:5" s="59" customFormat="1">
      <c r="A207" s="61"/>
      <c r="B207" s="61"/>
      <c r="C207" s="61"/>
      <c r="D207" s="61"/>
      <c r="E207" s="61"/>
    </row>
    <row r="208" spans="1:5" s="59" customFormat="1">
      <c r="A208" s="61"/>
      <c r="B208" s="61"/>
      <c r="C208" s="61"/>
      <c r="D208" s="61"/>
      <c r="E208" s="61"/>
    </row>
    <row r="209" spans="1:5" s="59" customFormat="1">
      <c r="A209" s="61"/>
      <c r="B209" s="61"/>
      <c r="C209" s="61"/>
      <c r="D209" s="61"/>
      <c r="E209" s="61"/>
    </row>
    <row r="210" spans="1:5" s="59" customFormat="1">
      <c r="A210" s="61"/>
      <c r="B210" s="61"/>
      <c r="C210" s="61"/>
      <c r="D210" s="61"/>
      <c r="E210" s="61"/>
    </row>
    <row r="211" spans="1:5" s="59" customFormat="1">
      <c r="A211" s="61"/>
      <c r="B211" s="61"/>
      <c r="C211" s="61"/>
      <c r="D211" s="61"/>
      <c r="E211" s="61"/>
    </row>
    <row r="212" spans="1:5" s="59" customFormat="1">
      <c r="A212" s="61"/>
      <c r="B212" s="61"/>
      <c r="C212" s="61"/>
      <c r="D212" s="61"/>
      <c r="E212" s="61"/>
    </row>
    <row r="213" spans="1:5" s="59" customFormat="1">
      <c r="A213" s="61"/>
      <c r="B213" s="61"/>
      <c r="C213" s="61"/>
      <c r="D213" s="61"/>
      <c r="E213" s="61"/>
    </row>
    <row r="214" spans="1:5" s="59" customFormat="1">
      <c r="A214" s="61"/>
      <c r="B214" s="61"/>
      <c r="C214" s="61"/>
      <c r="D214" s="61"/>
      <c r="E214" s="61"/>
    </row>
    <row r="215" spans="1:5" s="59" customFormat="1">
      <c r="A215" s="61"/>
      <c r="B215" s="61"/>
      <c r="C215" s="61"/>
      <c r="D215" s="61"/>
      <c r="E215" s="61"/>
    </row>
    <row r="216" spans="1:5" s="59" customFormat="1">
      <c r="A216" s="61"/>
      <c r="B216" s="61"/>
      <c r="C216" s="61"/>
      <c r="D216" s="61"/>
      <c r="E216" s="61"/>
    </row>
    <row r="217" spans="1:5" s="59" customFormat="1">
      <c r="A217" s="61"/>
      <c r="B217" s="61"/>
      <c r="C217" s="61"/>
      <c r="D217" s="61"/>
      <c r="E217" s="61"/>
    </row>
    <row r="218" spans="1:5" s="59" customFormat="1">
      <c r="A218" s="61"/>
      <c r="B218" s="61"/>
      <c r="C218" s="61"/>
      <c r="D218" s="61"/>
      <c r="E218" s="61"/>
    </row>
    <row r="219" spans="1:5" s="59" customFormat="1">
      <c r="A219" s="61"/>
      <c r="B219" s="61"/>
      <c r="C219" s="61"/>
      <c r="D219" s="61"/>
      <c r="E219" s="61"/>
    </row>
    <row r="220" spans="1:5" s="59" customFormat="1">
      <c r="A220" s="61"/>
      <c r="B220" s="61"/>
      <c r="C220" s="61"/>
      <c r="D220" s="61"/>
      <c r="E220" s="61"/>
    </row>
    <row r="221" spans="1:5" s="59" customFormat="1">
      <c r="A221" s="61"/>
      <c r="B221" s="61"/>
      <c r="C221" s="61"/>
      <c r="D221" s="61"/>
      <c r="E221" s="61"/>
    </row>
    <row r="222" spans="1:5" s="59" customFormat="1">
      <c r="A222" s="61"/>
      <c r="B222" s="61"/>
      <c r="C222" s="61"/>
      <c r="D222" s="61"/>
      <c r="E222" s="61"/>
    </row>
    <row r="223" spans="1:5" s="59" customFormat="1">
      <c r="A223" s="61"/>
      <c r="B223" s="61"/>
      <c r="C223" s="61"/>
      <c r="D223" s="61"/>
      <c r="E223" s="61"/>
    </row>
    <row r="224" spans="1:5" s="59" customFormat="1">
      <c r="A224" s="61"/>
      <c r="B224" s="61"/>
      <c r="C224" s="61"/>
      <c r="D224" s="61"/>
      <c r="E224" s="61"/>
    </row>
    <row r="225" spans="1:5" s="59" customFormat="1">
      <c r="A225" s="61"/>
      <c r="B225" s="61"/>
      <c r="C225" s="61"/>
      <c r="D225" s="61"/>
      <c r="E225" s="61"/>
    </row>
    <row r="226" spans="1:5" s="59" customFormat="1">
      <c r="A226" s="61"/>
      <c r="B226" s="61"/>
      <c r="C226" s="61"/>
      <c r="D226" s="61"/>
      <c r="E226" s="61"/>
    </row>
    <row r="227" spans="1:5" s="59" customFormat="1">
      <c r="A227" s="61"/>
      <c r="B227" s="61"/>
      <c r="C227" s="61"/>
      <c r="D227" s="61"/>
      <c r="E227" s="61"/>
    </row>
    <row r="228" spans="1:5" s="59" customFormat="1">
      <c r="A228" s="61"/>
      <c r="B228" s="61"/>
      <c r="C228" s="61"/>
      <c r="D228" s="61"/>
      <c r="E228" s="61"/>
    </row>
    <row r="229" spans="1:5" s="59" customFormat="1">
      <c r="A229" s="61"/>
      <c r="B229" s="61"/>
      <c r="C229" s="61"/>
      <c r="D229" s="61"/>
      <c r="E229" s="61"/>
    </row>
    <row r="230" spans="1:5" s="59" customFormat="1">
      <c r="A230" s="61"/>
      <c r="B230" s="61"/>
      <c r="C230" s="61"/>
      <c r="D230" s="61"/>
      <c r="E230" s="61"/>
    </row>
    <row r="231" spans="1:5" s="59" customFormat="1">
      <c r="A231" s="61"/>
      <c r="B231" s="61"/>
      <c r="C231" s="61"/>
      <c r="D231" s="61"/>
      <c r="E231" s="61"/>
    </row>
    <row r="232" spans="1:5" s="59" customFormat="1">
      <c r="A232" s="61"/>
      <c r="B232" s="61"/>
      <c r="C232" s="61"/>
      <c r="D232" s="61"/>
      <c r="E232" s="61"/>
    </row>
    <row r="233" spans="1:5" s="59" customFormat="1">
      <c r="A233" s="61"/>
      <c r="B233" s="61"/>
      <c r="C233" s="61"/>
      <c r="D233" s="61"/>
      <c r="E233" s="61"/>
    </row>
    <row r="234" spans="1:5" s="59" customFormat="1">
      <c r="A234" s="61"/>
      <c r="B234" s="61"/>
      <c r="C234" s="61"/>
      <c r="D234" s="61"/>
      <c r="E234" s="61"/>
    </row>
    <row r="235" spans="1:5" s="59" customFormat="1">
      <c r="A235" s="61"/>
      <c r="B235" s="61"/>
      <c r="C235" s="61"/>
      <c r="D235" s="61"/>
      <c r="E235" s="61"/>
    </row>
    <row r="236" spans="1:5" s="59" customFormat="1">
      <c r="A236" s="61"/>
      <c r="B236" s="61"/>
      <c r="C236" s="61"/>
      <c r="D236" s="61"/>
      <c r="E236" s="61"/>
    </row>
    <row r="237" spans="1:5" s="59" customFormat="1">
      <c r="A237" s="61"/>
      <c r="B237" s="61"/>
      <c r="C237" s="61"/>
      <c r="D237" s="61"/>
      <c r="E237" s="61"/>
    </row>
    <row r="238" spans="1:5" s="59" customFormat="1">
      <c r="A238" s="61"/>
      <c r="B238" s="61"/>
      <c r="C238" s="61"/>
      <c r="D238" s="61"/>
      <c r="E238" s="61"/>
    </row>
    <row r="239" spans="1:5" s="59" customFormat="1">
      <c r="A239" s="61"/>
      <c r="B239" s="61"/>
      <c r="C239" s="61"/>
      <c r="D239" s="61"/>
      <c r="E239" s="61"/>
    </row>
    <row r="240" spans="1:5" s="59" customFormat="1">
      <c r="A240" s="61"/>
      <c r="B240" s="61"/>
      <c r="C240" s="61"/>
      <c r="D240" s="61"/>
      <c r="E240" s="61"/>
    </row>
    <row r="241" spans="1:5" s="59" customFormat="1">
      <c r="A241" s="61"/>
      <c r="B241" s="61"/>
      <c r="C241" s="61"/>
      <c r="D241" s="61"/>
      <c r="E241" s="61"/>
    </row>
    <row r="242" spans="1:5" s="59" customFormat="1">
      <c r="A242" s="61"/>
      <c r="B242" s="61"/>
      <c r="C242" s="61"/>
      <c r="D242" s="61"/>
      <c r="E242" s="61"/>
    </row>
    <row r="243" spans="1:5" s="59" customFormat="1">
      <c r="A243" s="61"/>
      <c r="B243" s="61"/>
      <c r="C243" s="61"/>
      <c r="D243" s="61"/>
      <c r="E243" s="61"/>
    </row>
    <row r="244" spans="1:5" s="59" customFormat="1">
      <c r="A244" s="61"/>
      <c r="B244" s="61"/>
      <c r="C244" s="61"/>
      <c r="D244" s="61"/>
      <c r="E244" s="61"/>
    </row>
    <row r="245" spans="1:5" s="59" customFormat="1">
      <c r="A245" s="61"/>
      <c r="B245" s="61"/>
      <c r="C245" s="61"/>
      <c r="D245" s="61"/>
      <c r="E245" s="61"/>
    </row>
    <row r="246" spans="1:5" s="59" customFormat="1">
      <c r="A246" s="61"/>
      <c r="B246" s="61"/>
      <c r="C246" s="61"/>
      <c r="D246" s="61"/>
      <c r="E246" s="61"/>
    </row>
    <row r="247" spans="1:5" s="59" customFormat="1">
      <c r="A247" s="61"/>
      <c r="B247" s="61"/>
      <c r="C247" s="61"/>
      <c r="D247" s="61"/>
      <c r="E247" s="61"/>
    </row>
    <row r="248" spans="1:5" s="59" customFormat="1">
      <c r="A248" s="61"/>
      <c r="B248" s="61"/>
      <c r="C248" s="61"/>
      <c r="D248" s="61"/>
      <c r="E248" s="61"/>
    </row>
    <row r="249" spans="1:5" s="59" customFormat="1">
      <c r="A249" s="61"/>
      <c r="B249" s="61"/>
      <c r="C249" s="61"/>
      <c r="D249" s="61"/>
      <c r="E249" s="61"/>
    </row>
    <row r="250" spans="1:5" s="59" customFormat="1">
      <c r="A250" s="61"/>
      <c r="B250" s="61"/>
      <c r="C250" s="61"/>
      <c r="D250" s="61"/>
      <c r="E250" s="61"/>
    </row>
    <row r="251" spans="1:5" s="59" customFormat="1">
      <c r="A251" s="61"/>
      <c r="B251" s="61"/>
      <c r="C251" s="61"/>
      <c r="D251" s="61"/>
      <c r="E251" s="61"/>
    </row>
    <row r="252" spans="1:5" s="59" customFormat="1">
      <c r="A252" s="61"/>
      <c r="B252" s="61"/>
      <c r="C252" s="61"/>
      <c r="D252" s="61"/>
      <c r="E252" s="61"/>
    </row>
    <row r="253" spans="1:5" s="59" customFormat="1">
      <c r="A253" s="61"/>
      <c r="B253" s="61"/>
      <c r="C253" s="61"/>
      <c r="D253" s="61"/>
      <c r="E253" s="61"/>
    </row>
    <row r="254" spans="1:5" s="59" customFormat="1">
      <c r="A254" s="61"/>
      <c r="B254" s="61"/>
      <c r="C254" s="61"/>
      <c r="D254" s="61"/>
      <c r="E254" s="61"/>
    </row>
    <row r="255" spans="1:5" s="59" customFormat="1">
      <c r="A255" s="61"/>
      <c r="B255" s="61"/>
      <c r="C255" s="61"/>
      <c r="D255" s="61"/>
      <c r="E255" s="61"/>
    </row>
    <row r="256" spans="1:5" s="59" customFormat="1">
      <c r="A256" s="61"/>
      <c r="B256" s="61"/>
      <c r="C256" s="61"/>
      <c r="D256" s="61"/>
      <c r="E256" s="61"/>
    </row>
    <row r="257" spans="1:5" s="59" customFormat="1">
      <c r="A257" s="61"/>
      <c r="B257" s="61"/>
      <c r="C257" s="61"/>
      <c r="D257" s="61"/>
      <c r="E257" s="61"/>
    </row>
    <row r="258" spans="1:5" s="59" customFormat="1">
      <c r="A258" s="61"/>
      <c r="B258" s="61"/>
      <c r="C258" s="61"/>
      <c r="D258" s="61"/>
      <c r="E258" s="61"/>
    </row>
    <row r="259" spans="1:5" s="59" customFormat="1">
      <c r="A259" s="61"/>
      <c r="B259" s="61"/>
      <c r="C259" s="61"/>
      <c r="D259" s="61"/>
      <c r="E259" s="61"/>
    </row>
    <row r="260" spans="1:5" s="59" customFormat="1">
      <c r="A260" s="61"/>
      <c r="B260" s="61"/>
      <c r="C260" s="61"/>
      <c r="D260" s="61"/>
      <c r="E260" s="61"/>
    </row>
    <row r="261" spans="1:5" s="59" customFormat="1">
      <c r="A261" s="61"/>
      <c r="B261" s="61"/>
      <c r="C261" s="61"/>
      <c r="D261" s="61"/>
      <c r="E261" s="61"/>
    </row>
    <row r="262" spans="1:5" s="59" customFormat="1">
      <c r="A262" s="61"/>
      <c r="B262" s="61"/>
      <c r="C262" s="61"/>
      <c r="D262" s="61"/>
      <c r="E262" s="61"/>
    </row>
    <row r="263" spans="1:5" s="59" customFormat="1">
      <c r="A263" s="61"/>
      <c r="B263" s="61"/>
      <c r="C263" s="61"/>
      <c r="D263" s="61"/>
      <c r="E263" s="61"/>
    </row>
    <row r="264" spans="1:5" s="59" customFormat="1">
      <c r="A264" s="61"/>
      <c r="B264" s="61"/>
      <c r="C264" s="61"/>
      <c r="D264" s="61"/>
      <c r="E264" s="61"/>
    </row>
    <row r="265" spans="1:5" s="59" customFormat="1">
      <c r="A265" s="61"/>
      <c r="B265" s="61"/>
      <c r="C265" s="61"/>
      <c r="D265" s="61"/>
      <c r="E265" s="61"/>
    </row>
    <row r="266" spans="1:5" s="59" customFormat="1">
      <c r="A266" s="61"/>
      <c r="B266" s="61"/>
      <c r="C266" s="61"/>
      <c r="D266" s="61"/>
      <c r="E266" s="61"/>
    </row>
    <row r="267" spans="1:5" s="59" customFormat="1">
      <c r="A267" s="61"/>
      <c r="B267" s="61"/>
      <c r="C267" s="61"/>
      <c r="D267" s="61"/>
      <c r="E267" s="61"/>
    </row>
    <row r="268" spans="1:5" s="59" customFormat="1">
      <c r="A268" s="61"/>
      <c r="B268" s="61"/>
      <c r="C268" s="61"/>
      <c r="D268" s="61"/>
      <c r="E268" s="61"/>
    </row>
    <row r="269" spans="1:5" s="59" customFormat="1">
      <c r="A269" s="61"/>
      <c r="B269" s="61"/>
      <c r="C269" s="61"/>
      <c r="D269" s="61"/>
      <c r="E269" s="61"/>
    </row>
    <row r="270" spans="1:5" s="59" customFormat="1">
      <c r="A270" s="61"/>
      <c r="B270" s="61"/>
      <c r="C270" s="61"/>
      <c r="D270" s="61"/>
      <c r="E270" s="61"/>
    </row>
    <row r="271" spans="1:5" s="59" customFormat="1">
      <c r="A271" s="61"/>
      <c r="B271" s="61"/>
      <c r="C271" s="61"/>
      <c r="D271" s="61"/>
      <c r="E271" s="61"/>
    </row>
    <row r="272" spans="1:5" s="59" customFormat="1">
      <c r="A272" s="61"/>
      <c r="B272" s="61"/>
      <c r="C272" s="61"/>
      <c r="D272" s="61"/>
      <c r="E272" s="61"/>
    </row>
    <row r="273" spans="1:5" s="59" customFormat="1">
      <c r="A273" s="61"/>
      <c r="B273" s="61"/>
      <c r="C273" s="61"/>
      <c r="D273" s="61"/>
      <c r="E273" s="61"/>
    </row>
    <row r="274" spans="1:5" s="59" customFormat="1">
      <c r="A274" s="61"/>
      <c r="B274" s="61"/>
      <c r="C274" s="61"/>
      <c r="D274" s="61"/>
      <c r="E274" s="61"/>
    </row>
    <row r="275" spans="1:5" s="59" customFormat="1">
      <c r="A275" s="61"/>
      <c r="B275" s="61"/>
      <c r="C275" s="61"/>
      <c r="D275" s="61"/>
      <c r="E275" s="61"/>
    </row>
    <row r="276" spans="1:5" s="59" customFormat="1">
      <c r="A276" s="61"/>
      <c r="B276" s="61"/>
      <c r="C276" s="61"/>
      <c r="D276" s="61"/>
      <c r="E276" s="61"/>
    </row>
    <row r="277" spans="1:5" s="59" customFormat="1">
      <c r="A277" s="61"/>
      <c r="B277" s="61"/>
      <c r="C277" s="61"/>
      <c r="D277" s="61"/>
      <c r="E277" s="61"/>
    </row>
    <row r="278" spans="1:5" s="59" customFormat="1">
      <c r="A278" s="61"/>
      <c r="B278" s="61"/>
      <c r="C278" s="61"/>
      <c r="D278" s="61"/>
      <c r="E278" s="61"/>
    </row>
    <row r="279" spans="1:5" s="59" customFormat="1">
      <c r="A279" s="61"/>
      <c r="B279" s="61"/>
      <c r="C279" s="61"/>
      <c r="D279" s="61"/>
      <c r="E279" s="61"/>
    </row>
    <row r="280" spans="1:5" s="59" customFormat="1">
      <c r="A280" s="61"/>
      <c r="B280" s="61"/>
      <c r="C280" s="61"/>
      <c r="D280" s="61"/>
      <c r="E280" s="61"/>
    </row>
    <row r="281" spans="1:5" s="59" customFormat="1">
      <c r="A281" s="61"/>
      <c r="B281" s="61"/>
      <c r="C281" s="61"/>
      <c r="D281" s="61"/>
      <c r="E281" s="61"/>
    </row>
    <row r="282" spans="1:5" s="59" customFormat="1">
      <c r="A282" s="61"/>
      <c r="B282" s="61"/>
      <c r="C282" s="61"/>
      <c r="D282" s="61"/>
      <c r="E282" s="61"/>
    </row>
    <row r="283" spans="1:5" s="59" customFormat="1">
      <c r="A283" s="61"/>
      <c r="B283" s="61"/>
      <c r="C283" s="61"/>
      <c r="D283" s="61"/>
      <c r="E283" s="61"/>
    </row>
    <row r="284" spans="1:5" s="59" customFormat="1">
      <c r="A284" s="61"/>
      <c r="B284" s="61"/>
      <c r="C284" s="61"/>
      <c r="D284" s="61"/>
      <c r="E284" s="61"/>
    </row>
    <row r="285" spans="1:5" s="59" customFormat="1">
      <c r="A285" s="61"/>
      <c r="B285" s="61"/>
      <c r="C285" s="61"/>
      <c r="D285" s="61"/>
      <c r="E285" s="61"/>
    </row>
    <row r="286" spans="1:5" s="59" customFormat="1">
      <c r="A286" s="61"/>
      <c r="B286" s="61"/>
      <c r="C286" s="61"/>
      <c r="D286" s="61"/>
      <c r="E286" s="61"/>
    </row>
    <row r="287" spans="1:5" s="59" customFormat="1">
      <c r="A287" s="61"/>
      <c r="B287" s="61"/>
      <c r="C287" s="61"/>
      <c r="D287" s="61"/>
      <c r="E287" s="61"/>
    </row>
    <row r="288" spans="1:5" s="59" customFormat="1">
      <c r="A288" s="61"/>
      <c r="B288" s="61"/>
      <c r="C288" s="61"/>
      <c r="D288" s="61"/>
      <c r="E288" s="61"/>
    </row>
    <row r="289" spans="1:5" s="59" customFormat="1">
      <c r="A289" s="61"/>
      <c r="B289" s="61"/>
      <c r="C289" s="61"/>
      <c r="D289" s="61"/>
      <c r="E289" s="61"/>
    </row>
    <row r="290" spans="1:5" s="59" customFormat="1">
      <c r="A290" s="61"/>
      <c r="B290" s="61"/>
      <c r="C290" s="61"/>
      <c r="D290" s="61"/>
      <c r="E290" s="61"/>
    </row>
    <row r="291" spans="1:5" s="59" customFormat="1">
      <c r="A291" s="61"/>
      <c r="B291" s="61"/>
      <c r="C291" s="61"/>
      <c r="D291" s="61"/>
      <c r="E291" s="61"/>
    </row>
    <row r="292" spans="1:5" s="59" customFormat="1">
      <c r="A292" s="61"/>
      <c r="B292" s="61"/>
      <c r="C292" s="61"/>
      <c r="D292" s="61"/>
      <c r="E292" s="61"/>
    </row>
    <row r="293" spans="1:5" s="59" customFormat="1">
      <c r="A293" s="61"/>
      <c r="B293" s="61"/>
      <c r="C293" s="61"/>
      <c r="D293" s="61"/>
      <c r="E293" s="61"/>
    </row>
    <row r="294" spans="1:5" s="59" customFormat="1">
      <c r="A294" s="61"/>
      <c r="B294" s="61"/>
      <c r="C294" s="61"/>
      <c r="D294" s="61"/>
      <c r="E294" s="61"/>
    </row>
    <row r="295" spans="1:5" s="59" customFormat="1">
      <c r="A295" s="61"/>
      <c r="B295" s="61"/>
      <c r="C295" s="61"/>
      <c r="D295" s="61"/>
      <c r="E295" s="61"/>
    </row>
    <row r="296" spans="1:5" s="59" customFormat="1">
      <c r="A296" s="61"/>
      <c r="B296" s="61"/>
      <c r="C296" s="61"/>
      <c r="D296" s="61"/>
      <c r="E296" s="61"/>
    </row>
    <row r="297" spans="1:5" s="59" customFormat="1">
      <c r="A297" s="61"/>
      <c r="B297" s="61"/>
      <c r="C297" s="61"/>
      <c r="D297" s="61"/>
      <c r="E297" s="61"/>
    </row>
    <row r="298" spans="1:5" s="59" customFormat="1">
      <c r="A298" s="61"/>
      <c r="B298" s="61"/>
      <c r="C298" s="61"/>
      <c r="D298" s="61"/>
      <c r="E298" s="61"/>
    </row>
    <row r="299" spans="1:5" s="59" customFormat="1">
      <c r="A299" s="61"/>
      <c r="B299" s="61"/>
      <c r="C299" s="61"/>
      <c r="D299" s="61"/>
      <c r="E299" s="61"/>
    </row>
    <row r="300" spans="1:5" s="59" customFormat="1">
      <c r="A300" s="61"/>
      <c r="B300" s="61"/>
      <c r="C300" s="61"/>
      <c r="D300" s="61"/>
      <c r="E300" s="61"/>
    </row>
    <row r="301" spans="1:5" s="59" customFormat="1">
      <c r="A301" s="61"/>
      <c r="B301" s="61"/>
      <c r="C301" s="61"/>
      <c r="D301" s="61"/>
      <c r="E301" s="61"/>
    </row>
    <row r="302" spans="1:5" s="59" customFormat="1">
      <c r="A302" s="61"/>
      <c r="B302" s="61"/>
      <c r="C302" s="61"/>
      <c r="D302" s="61"/>
      <c r="E302" s="61"/>
    </row>
    <row r="303" spans="1:5" s="59" customFormat="1">
      <c r="A303" s="61"/>
      <c r="B303" s="61"/>
      <c r="C303" s="61"/>
      <c r="D303" s="61"/>
      <c r="E303" s="61"/>
    </row>
    <row r="304" spans="1:5" s="59" customFormat="1">
      <c r="A304" s="61"/>
      <c r="B304" s="61"/>
      <c r="C304" s="61"/>
      <c r="D304" s="61"/>
      <c r="E304" s="61"/>
    </row>
    <row r="305" spans="1:5" s="59" customFormat="1">
      <c r="A305" s="61"/>
      <c r="B305" s="61"/>
      <c r="C305" s="61"/>
      <c r="D305" s="61"/>
      <c r="E305" s="61"/>
    </row>
    <row r="306" spans="1:5" s="59" customFormat="1">
      <c r="A306" s="61"/>
      <c r="B306" s="61"/>
      <c r="C306" s="61"/>
      <c r="D306" s="61"/>
      <c r="E306" s="61"/>
    </row>
    <row r="307" spans="1:5" s="59" customFormat="1">
      <c r="A307" s="61"/>
      <c r="B307" s="61"/>
      <c r="C307" s="61"/>
      <c r="D307" s="61"/>
      <c r="E307" s="61"/>
    </row>
    <row r="308" spans="1:5" s="59" customFormat="1">
      <c r="A308" s="61"/>
      <c r="B308" s="61"/>
      <c r="C308" s="61"/>
      <c r="D308" s="61"/>
      <c r="E308" s="61"/>
    </row>
    <row r="309" spans="1:5" s="59" customFormat="1">
      <c r="A309" s="61"/>
      <c r="B309" s="61"/>
      <c r="C309" s="61"/>
      <c r="D309" s="61"/>
      <c r="E309" s="61"/>
    </row>
    <row r="310" spans="1:5" s="59" customFormat="1">
      <c r="A310" s="61"/>
      <c r="B310" s="61"/>
      <c r="C310" s="61"/>
      <c r="D310" s="61"/>
      <c r="E310" s="61"/>
    </row>
    <row r="311" spans="1:5" s="59" customFormat="1">
      <c r="A311" s="61"/>
      <c r="B311" s="61"/>
      <c r="C311" s="61"/>
      <c r="D311" s="61"/>
      <c r="E311" s="61"/>
    </row>
    <row r="312" spans="1:5" s="59" customFormat="1">
      <c r="A312" s="61"/>
      <c r="B312" s="61"/>
      <c r="C312" s="61"/>
      <c r="D312" s="61"/>
      <c r="E312" s="61"/>
    </row>
    <row r="313" spans="1:5" s="59" customFormat="1">
      <c r="A313" s="61"/>
      <c r="B313" s="61"/>
      <c r="C313" s="61"/>
      <c r="D313" s="61"/>
      <c r="E313" s="61"/>
    </row>
    <row r="314" spans="1:5" s="59" customFormat="1">
      <c r="A314" s="61"/>
      <c r="B314" s="61"/>
      <c r="C314" s="61"/>
      <c r="D314" s="61"/>
      <c r="E314" s="61"/>
    </row>
    <row r="315" spans="1:5" s="59" customFormat="1">
      <c r="A315" s="61"/>
      <c r="B315" s="61"/>
      <c r="C315" s="61"/>
      <c r="D315" s="61"/>
      <c r="E315" s="61"/>
    </row>
    <row r="316" spans="1:5" s="59" customFormat="1">
      <c r="A316" s="61"/>
      <c r="B316" s="61"/>
      <c r="C316" s="61"/>
      <c r="D316" s="61"/>
      <c r="E316" s="61"/>
    </row>
    <row r="317" spans="1:5" s="59" customFormat="1">
      <c r="A317" s="61"/>
      <c r="B317" s="61"/>
      <c r="C317" s="61"/>
      <c r="D317" s="61"/>
      <c r="E317" s="61"/>
    </row>
    <row r="318" spans="1:5" s="59" customFormat="1">
      <c r="A318" s="61"/>
      <c r="B318" s="61"/>
      <c r="C318" s="61"/>
      <c r="D318" s="61"/>
      <c r="E318" s="61"/>
    </row>
    <row r="319" spans="1:5" s="59" customFormat="1">
      <c r="A319" s="61"/>
      <c r="B319" s="61"/>
      <c r="C319" s="61"/>
      <c r="D319" s="61"/>
      <c r="E319" s="61"/>
    </row>
    <row r="320" spans="1:5" s="59" customFormat="1">
      <c r="A320" s="61"/>
      <c r="B320" s="61"/>
      <c r="C320" s="61"/>
      <c r="D320" s="61"/>
      <c r="E320" s="61"/>
    </row>
    <row r="321" spans="1:5" s="59" customFormat="1">
      <c r="A321" s="61"/>
      <c r="B321" s="61"/>
      <c r="C321" s="61"/>
      <c r="D321" s="61"/>
      <c r="E321" s="61"/>
    </row>
    <row r="322" spans="1:5" s="59" customFormat="1">
      <c r="A322" s="61"/>
      <c r="B322" s="61"/>
      <c r="C322" s="61"/>
      <c r="D322" s="61"/>
      <c r="E322" s="61"/>
    </row>
    <row r="323" spans="1:5" s="59" customFormat="1">
      <c r="A323" s="61"/>
      <c r="B323" s="61"/>
      <c r="C323" s="61"/>
      <c r="D323" s="61"/>
      <c r="E323" s="61"/>
    </row>
    <row r="324" spans="1:5" s="59" customFormat="1">
      <c r="A324" s="61"/>
      <c r="B324" s="61"/>
      <c r="C324" s="61"/>
      <c r="D324" s="61"/>
      <c r="E324" s="61"/>
    </row>
    <row r="325" spans="1:5" s="59" customFormat="1">
      <c r="A325" s="61"/>
      <c r="B325" s="61"/>
      <c r="C325" s="61"/>
      <c r="D325" s="61"/>
      <c r="E325" s="61"/>
    </row>
    <row r="326" spans="1:5" s="59" customFormat="1">
      <c r="A326" s="61"/>
      <c r="B326" s="61"/>
      <c r="C326" s="61"/>
      <c r="D326" s="61"/>
      <c r="E326" s="61"/>
    </row>
    <row r="327" spans="1:5" s="59" customFormat="1">
      <c r="A327" s="61"/>
      <c r="B327" s="61"/>
      <c r="C327" s="61"/>
      <c r="D327" s="61"/>
      <c r="E327" s="61"/>
    </row>
    <row r="328" spans="1:5" s="59" customFormat="1">
      <c r="A328" s="61"/>
      <c r="B328" s="61"/>
      <c r="C328" s="61"/>
      <c r="D328" s="61"/>
      <c r="E328" s="61"/>
    </row>
    <row r="329" spans="1:5" s="59" customFormat="1">
      <c r="A329" s="61"/>
      <c r="B329" s="61"/>
      <c r="C329" s="61"/>
      <c r="D329" s="61"/>
      <c r="E329" s="61"/>
    </row>
    <row r="330" spans="1:5" s="59" customFormat="1">
      <c r="A330" s="61"/>
      <c r="B330" s="61"/>
      <c r="C330" s="61"/>
      <c r="D330" s="61"/>
      <c r="E330" s="61"/>
    </row>
    <row r="331" spans="1:5" s="59" customFormat="1">
      <c r="A331" s="61"/>
      <c r="B331" s="61"/>
      <c r="C331" s="61"/>
      <c r="D331" s="61"/>
      <c r="E331" s="61"/>
    </row>
    <row r="332" spans="1:5" s="59" customFormat="1">
      <c r="A332" s="61"/>
      <c r="B332" s="61"/>
      <c r="C332" s="61"/>
      <c r="D332" s="61"/>
      <c r="E332" s="61"/>
    </row>
    <row r="333" spans="1:5" s="59" customFormat="1">
      <c r="A333" s="61"/>
      <c r="B333" s="61"/>
      <c r="C333" s="61"/>
      <c r="D333" s="61"/>
      <c r="E333" s="61"/>
    </row>
    <row r="334" spans="1:5" s="59" customFormat="1">
      <c r="A334" s="61"/>
      <c r="B334" s="61"/>
      <c r="C334" s="61"/>
      <c r="D334" s="61"/>
      <c r="E334" s="61"/>
    </row>
    <row r="335" spans="1:5" s="59" customFormat="1">
      <c r="A335" s="61"/>
      <c r="B335" s="61"/>
      <c r="C335" s="61"/>
      <c r="D335" s="61"/>
      <c r="E335" s="61"/>
    </row>
    <row r="336" spans="1:5" s="59" customFormat="1">
      <c r="A336" s="61"/>
      <c r="B336" s="61"/>
      <c r="C336" s="61"/>
      <c r="D336" s="61"/>
      <c r="E336" s="61"/>
    </row>
    <row r="337" spans="1:5" s="59" customFormat="1">
      <c r="A337" s="61"/>
      <c r="B337" s="61"/>
      <c r="C337" s="61"/>
      <c r="D337" s="61"/>
      <c r="E337" s="61"/>
    </row>
    <row r="338" spans="1:5" s="59" customFormat="1">
      <c r="A338" s="61"/>
      <c r="B338" s="61"/>
      <c r="C338" s="61"/>
      <c r="D338" s="61"/>
      <c r="E338" s="61"/>
    </row>
    <row r="339" spans="1:5" s="59" customFormat="1">
      <c r="A339" s="61"/>
      <c r="B339" s="61"/>
      <c r="C339" s="61"/>
      <c r="D339" s="61"/>
      <c r="E339" s="61"/>
    </row>
    <row r="340" spans="1:5" s="59" customFormat="1">
      <c r="A340" s="61"/>
      <c r="B340" s="61"/>
      <c r="C340" s="61"/>
      <c r="D340" s="61"/>
      <c r="E340" s="61"/>
    </row>
    <row r="341" spans="1:5" s="59" customFormat="1">
      <c r="A341" s="61"/>
      <c r="B341" s="61"/>
      <c r="C341" s="61"/>
      <c r="D341" s="61"/>
      <c r="E341" s="61"/>
    </row>
    <row r="342" spans="1:5" s="59" customFormat="1">
      <c r="A342" s="61"/>
      <c r="B342" s="61"/>
      <c r="C342" s="61"/>
      <c r="D342" s="61"/>
      <c r="E342" s="61"/>
    </row>
    <row r="343" spans="1:5" s="59" customFormat="1">
      <c r="A343" s="61"/>
      <c r="B343" s="61"/>
      <c r="C343" s="61"/>
      <c r="D343" s="61"/>
      <c r="E343" s="61"/>
    </row>
    <row r="344" spans="1:5" s="59" customFormat="1">
      <c r="A344" s="61"/>
      <c r="B344" s="61"/>
      <c r="C344" s="61"/>
      <c r="D344" s="61"/>
      <c r="E344" s="61"/>
    </row>
    <row r="345" spans="1:5" s="59" customFormat="1">
      <c r="A345" s="61"/>
      <c r="B345" s="61"/>
      <c r="C345" s="61"/>
      <c r="D345" s="61"/>
      <c r="E345" s="61"/>
    </row>
    <row r="346" spans="1:5" s="59" customFormat="1">
      <c r="A346" s="61"/>
      <c r="B346" s="61"/>
      <c r="C346" s="61"/>
      <c r="D346" s="61"/>
      <c r="E346" s="61"/>
    </row>
    <row r="347" spans="1:5" s="59" customFormat="1">
      <c r="A347" s="61"/>
      <c r="B347" s="61"/>
      <c r="C347" s="61"/>
      <c r="D347" s="61"/>
      <c r="E347" s="61"/>
    </row>
    <row r="348" spans="1:5" s="59" customFormat="1">
      <c r="A348" s="61"/>
      <c r="B348" s="61"/>
      <c r="C348" s="61"/>
      <c r="D348" s="61"/>
      <c r="E348" s="61"/>
    </row>
    <row r="349" spans="1:5" s="59" customFormat="1">
      <c r="A349" s="61"/>
      <c r="B349" s="61"/>
      <c r="C349" s="61"/>
      <c r="D349" s="61"/>
      <c r="E349" s="61"/>
    </row>
    <row r="350" spans="1:5" s="59" customFormat="1">
      <c r="A350" s="61"/>
      <c r="B350" s="61"/>
      <c r="C350" s="61"/>
      <c r="D350" s="61"/>
      <c r="E350" s="61"/>
    </row>
    <row r="351" spans="1:5" s="59" customFormat="1">
      <c r="A351" s="61"/>
      <c r="B351" s="61"/>
      <c r="C351" s="61"/>
      <c r="D351" s="61"/>
      <c r="E351" s="61"/>
    </row>
    <row r="352" spans="1:5" s="59" customFormat="1">
      <c r="A352" s="61"/>
      <c r="B352" s="61"/>
      <c r="C352" s="61"/>
      <c r="D352" s="61"/>
      <c r="E352" s="61"/>
    </row>
    <row r="353" spans="1:5" s="59" customFormat="1">
      <c r="A353" s="61"/>
      <c r="B353" s="61"/>
      <c r="C353" s="61"/>
      <c r="D353" s="61"/>
      <c r="E353" s="61"/>
    </row>
    <row r="354" spans="1:5" s="59" customFormat="1">
      <c r="A354" s="61"/>
      <c r="B354" s="61"/>
      <c r="C354" s="61"/>
      <c r="D354" s="61"/>
      <c r="E354" s="61"/>
    </row>
    <row r="355" spans="1:5" s="59" customFormat="1">
      <c r="A355" s="61"/>
      <c r="B355" s="61"/>
      <c r="C355" s="61"/>
      <c r="D355" s="61"/>
      <c r="E355" s="61"/>
    </row>
    <row r="356" spans="1:5" s="59" customFormat="1">
      <c r="A356" s="61"/>
      <c r="B356" s="61"/>
      <c r="C356" s="61"/>
      <c r="D356" s="61"/>
      <c r="E356" s="61"/>
    </row>
    <row r="357" spans="1:5" s="59" customFormat="1">
      <c r="A357" s="61"/>
      <c r="B357" s="61"/>
      <c r="C357" s="61"/>
      <c r="D357" s="61"/>
      <c r="E357" s="61"/>
    </row>
    <row r="358" spans="1:5" s="59" customFormat="1">
      <c r="A358" s="61"/>
      <c r="B358" s="61"/>
      <c r="C358" s="61"/>
      <c r="D358" s="61"/>
      <c r="E358" s="61"/>
    </row>
    <row r="359" spans="1:5" s="59" customFormat="1">
      <c r="A359" s="61"/>
      <c r="B359" s="61"/>
      <c r="C359" s="61"/>
      <c r="D359" s="61"/>
      <c r="E359" s="61"/>
    </row>
    <row r="360" spans="1:5" s="59" customFormat="1">
      <c r="A360" s="61"/>
      <c r="B360" s="61"/>
      <c r="C360" s="61"/>
      <c r="D360" s="61"/>
      <c r="E360" s="61"/>
    </row>
    <row r="361" spans="1:5" s="59" customFormat="1">
      <c r="A361" s="61"/>
      <c r="B361" s="61"/>
      <c r="C361" s="61"/>
      <c r="D361" s="61"/>
      <c r="E361" s="61"/>
    </row>
    <row r="362" spans="1:5" s="59" customFormat="1">
      <c r="A362" s="61"/>
      <c r="B362" s="61"/>
      <c r="C362" s="61"/>
      <c r="D362" s="61"/>
      <c r="E362" s="61"/>
    </row>
    <row r="363" spans="1:5" s="59" customFormat="1">
      <c r="A363" s="61"/>
      <c r="B363" s="61"/>
      <c r="C363" s="61"/>
      <c r="D363" s="61"/>
      <c r="E363" s="61"/>
    </row>
    <row r="364" spans="1:5" s="59" customFormat="1">
      <c r="A364" s="61"/>
      <c r="B364" s="61"/>
      <c r="C364" s="61"/>
      <c r="D364" s="61"/>
      <c r="E364" s="61"/>
    </row>
    <row r="365" spans="1:5" s="59" customFormat="1">
      <c r="A365" s="61"/>
      <c r="B365" s="61"/>
      <c r="C365" s="61"/>
      <c r="D365" s="61"/>
      <c r="E365" s="61"/>
    </row>
    <row r="366" spans="1:5" s="59" customFormat="1">
      <c r="A366" s="61"/>
      <c r="B366" s="61"/>
      <c r="C366" s="61"/>
      <c r="D366" s="61"/>
      <c r="E366" s="61"/>
    </row>
    <row r="367" spans="1:5" s="59" customFormat="1">
      <c r="A367" s="61"/>
      <c r="B367" s="61"/>
      <c r="C367" s="61"/>
      <c r="D367" s="61"/>
      <c r="E367" s="61"/>
    </row>
    <row r="368" spans="1:5" s="59" customFormat="1">
      <c r="A368" s="61"/>
      <c r="B368" s="61"/>
      <c r="C368" s="61"/>
      <c r="D368" s="61"/>
      <c r="E368" s="61"/>
    </row>
    <row r="369" spans="1:5" s="59" customFormat="1">
      <c r="A369" s="61"/>
      <c r="B369" s="61"/>
      <c r="C369" s="61"/>
      <c r="D369" s="61"/>
      <c r="E369" s="61"/>
    </row>
    <row r="370" spans="1:5" s="59" customFormat="1">
      <c r="A370" s="61"/>
      <c r="B370" s="61"/>
      <c r="C370" s="61"/>
      <c r="D370" s="61"/>
      <c r="E370" s="61"/>
    </row>
    <row r="371" spans="1:5" s="59" customFormat="1">
      <c r="A371" s="61"/>
      <c r="B371" s="61"/>
      <c r="C371" s="61"/>
      <c r="D371" s="61"/>
      <c r="E371" s="61"/>
    </row>
    <row r="372" spans="1:5" s="59" customFormat="1">
      <c r="A372" s="61"/>
      <c r="B372" s="61"/>
      <c r="C372" s="61"/>
      <c r="D372" s="61"/>
      <c r="E372" s="61"/>
    </row>
    <row r="373" spans="1:5" s="59" customFormat="1">
      <c r="A373" s="61"/>
      <c r="B373" s="61"/>
      <c r="C373" s="61"/>
      <c r="D373" s="61"/>
      <c r="E373" s="61"/>
    </row>
    <row r="374" spans="1:5" s="59" customFormat="1">
      <c r="A374" s="61"/>
      <c r="B374" s="61"/>
      <c r="C374" s="61"/>
      <c r="D374" s="61"/>
      <c r="E374" s="61"/>
    </row>
    <row r="375" spans="1:5" s="59" customFormat="1">
      <c r="A375" s="61"/>
      <c r="B375" s="61"/>
      <c r="C375" s="61"/>
      <c r="D375" s="61"/>
      <c r="E375" s="61"/>
    </row>
    <row r="376" spans="1:5" s="59" customFormat="1">
      <c r="A376" s="61"/>
      <c r="B376" s="61"/>
      <c r="C376" s="61"/>
      <c r="D376" s="61"/>
      <c r="E376" s="61"/>
    </row>
    <row r="377" spans="1:5" s="59" customFormat="1">
      <c r="A377" s="61"/>
      <c r="B377" s="61"/>
      <c r="C377" s="61"/>
      <c r="D377" s="61"/>
      <c r="E377" s="61"/>
    </row>
    <row r="378" spans="1:5" s="59" customFormat="1">
      <c r="A378" s="61"/>
      <c r="B378" s="61"/>
      <c r="C378" s="61"/>
      <c r="D378" s="61"/>
      <c r="E378" s="61"/>
    </row>
    <row r="379" spans="1:5" s="59" customFormat="1">
      <c r="A379" s="61"/>
      <c r="B379" s="61"/>
      <c r="C379" s="61"/>
      <c r="D379" s="61"/>
      <c r="E379" s="61"/>
    </row>
    <row r="380" spans="1:5" s="59" customFormat="1">
      <c r="A380" s="61"/>
      <c r="B380" s="61"/>
      <c r="C380" s="61"/>
      <c r="D380" s="61"/>
      <c r="E380" s="61"/>
    </row>
    <row r="381" spans="1:5" s="59" customFormat="1">
      <c r="A381" s="61"/>
      <c r="B381" s="61"/>
      <c r="C381" s="61"/>
      <c r="D381" s="61"/>
      <c r="E381" s="61"/>
    </row>
    <row r="382" spans="1:5" s="59" customFormat="1">
      <c r="A382" s="61"/>
      <c r="B382" s="61"/>
      <c r="C382" s="61"/>
      <c r="D382" s="61"/>
      <c r="E382" s="61"/>
    </row>
    <row r="383" spans="1:5" s="59" customFormat="1">
      <c r="A383" s="61"/>
      <c r="B383" s="61"/>
      <c r="C383" s="61"/>
      <c r="D383" s="61"/>
      <c r="E383" s="61"/>
    </row>
    <row r="384" spans="1:5" s="59" customFormat="1">
      <c r="A384" s="61"/>
      <c r="B384" s="61"/>
      <c r="C384" s="61"/>
      <c r="D384" s="61"/>
      <c r="E384" s="61"/>
    </row>
    <row r="385" spans="1:5" s="59" customFormat="1">
      <c r="A385" s="61"/>
      <c r="B385" s="61"/>
      <c r="C385" s="61"/>
      <c r="D385" s="61"/>
      <c r="E385" s="61"/>
    </row>
    <row r="386" spans="1:5" s="59" customFormat="1">
      <c r="A386" s="61"/>
      <c r="B386" s="61"/>
      <c r="C386" s="61"/>
      <c r="D386" s="61"/>
      <c r="E386" s="61"/>
    </row>
    <row r="387" spans="1:5" s="59" customFormat="1">
      <c r="A387" s="61"/>
      <c r="B387" s="61"/>
      <c r="C387" s="61"/>
      <c r="D387" s="61"/>
      <c r="E387" s="61"/>
    </row>
    <row r="388" spans="1:5" s="59" customFormat="1">
      <c r="A388" s="61"/>
      <c r="B388" s="61"/>
      <c r="C388" s="61"/>
      <c r="D388" s="61"/>
      <c r="E388" s="61"/>
    </row>
    <row r="389" spans="1:5" s="59" customFormat="1">
      <c r="A389" s="61"/>
      <c r="B389" s="61"/>
      <c r="C389" s="61"/>
      <c r="D389" s="61"/>
      <c r="E389" s="61"/>
    </row>
    <row r="390" spans="1:5" s="59" customFormat="1">
      <c r="A390" s="61"/>
      <c r="B390" s="61"/>
      <c r="C390" s="61"/>
      <c r="D390" s="61"/>
      <c r="E390" s="61"/>
    </row>
    <row r="391" spans="1:5" s="59" customFormat="1">
      <c r="A391" s="61"/>
      <c r="B391" s="61"/>
      <c r="C391" s="61"/>
      <c r="D391" s="61"/>
      <c r="E391" s="61"/>
    </row>
    <row r="392" spans="1:5" s="59" customFormat="1">
      <c r="A392" s="61"/>
      <c r="B392" s="61"/>
      <c r="C392" s="61"/>
      <c r="D392" s="61"/>
      <c r="E392" s="61"/>
    </row>
    <row r="393" spans="1:5" s="59" customFormat="1">
      <c r="A393" s="61"/>
      <c r="B393" s="61"/>
      <c r="C393" s="61"/>
      <c r="D393" s="61"/>
      <c r="E393" s="61"/>
    </row>
    <row r="394" spans="1:5" s="59" customFormat="1">
      <c r="A394" s="61"/>
      <c r="B394" s="61"/>
      <c r="C394" s="61"/>
      <c r="D394" s="61"/>
      <c r="E394" s="61"/>
    </row>
    <row r="395" spans="1:5" s="59" customFormat="1">
      <c r="A395" s="61"/>
      <c r="B395" s="61"/>
      <c r="C395" s="61"/>
      <c r="D395" s="61"/>
      <c r="E395" s="61"/>
    </row>
    <row r="396" spans="1:5" s="59" customFormat="1">
      <c r="A396" s="61"/>
      <c r="B396" s="61"/>
      <c r="C396" s="61"/>
      <c r="D396" s="61"/>
      <c r="E396" s="61"/>
    </row>
    <row r="397" spans="1:5" s="59" customFormat="1">
      <c r="A397" s="61"/>
      <c r="B397" s="61"/>
      <c r="C397" s="61"/>
      <c r="D397" s="61"/>
      <c r="E397" s="61"/>
    </row>
    <row r="398" spans="1:5" s="59" customFormat="1">
      <c r="A398" s="61"/>
      <c r="B398" s="61"/>
      <c r="C398" s="61"/>
      <c r="D398" s="61"/>
      <c r="E398" s="61"/>
    </row>
    <row r="399" spans="1:5" s="59" customFormat="1">
      <c r="A399" s="61"/>
      <c r="B399" s="61"/>
      <c r="C399" s="61"/>
      <c r="D399" s="61"/>
      <c r="E399" s="61"/>
    </row>
    <row r="400" spans="1:5" s="59" customFormat="1">
      <c r="A400" s="61"/>
      <c r="B400" s="61"/>
      <c r="C400" s="61"/>
      <c r="D400" s="61"/>
      <c r="E400" s="61"/>
    </row>
    <row r="401" spans="1:5" s="59" customFormat="1">
      <c r="A401" s="61"/>
      <c r="B401" s="61"/>
      <c r="C401" s="61"/>
      <c r="D401" s="61"/>
      <c r="E401" s="61"/>
    </row>
    <row r="402" spans="1:5" s="59" customFormat="1">
      <c r="A402" s="61"/>
      <c r="B402" s="61"/>
      <c r="C402" s="61"/>
      <c r="D402" s="61"/>
      <c r="E402" s="61"/>
    </row>
    <row r="403" spans="1:5" s="59" customFormat="1">
      <c r="A403" s="61"/>
      <c r="B403" s="61"/>
      <c r="C403" s="61"/>
      <c r="D403" s="61"/>
      <c r="E403" s="61"/>
    </row>
    <row r="404" spans="1:5" s="59" customFormat="1">
      <c r="A404" s="61"/>
      <c r="B404" s="61"/>
      <c r="C404" s="61"/>
      <c r="D404" s="61"/>
      <c r="E404" s="61"/>
    </row>
    <row r="405" spans="1:5" s="59" customFormat="1">
      <c r="A405" s="61"/>
      <c r="B405" s="61"/>
      <c r="C405" s="61"/>
      <c r="D405" s="61"/>
      <c r="E405" s="61"/>
    </row>
    <row r="406" spans="1:5" s="59" customFormat="1">
      <c r="A406" s="61"/>
      <c r="B406" s="61"/>
      <c r="C406" s="61"/>
      <c r="D406" s="61"/>
      <c r="E406" s="61"/>
    </row>
    <row r="407" spans="1:5" s="59" customFormat="1">
      <c r="A407" s="61"/>
      <c r="B407" s="61"/>
      <c r="C407" s="61"/>
      <c r="D407" s="61"/>
      <c r="E407" s="61"/>
    </row>
    <row r="408" spans="1:5" s="59" customFormat="1">
      <c r="A408" s="61"/>
      <c r="B408" s="61"/>
      <c r="C408" s="61"/>
      <c r="D408" s="61"/>
      <c r="E408" s="61"/>
    </row>
    <row r="409" spans="1:5" s="59" customFormat="1">
      <c r="A409" s="61"/>
      <c r="B409" s="61"/>
      <c r="C409" s="61"/>
      <c r="D409" s="61"/>
      <c r="E409" s="61"/>
    </row>
    <row r="410" spans="1:5" s="59" customFormat="1">
      <c r="A410" s="61"/>
      <c r="B410" s="61"/>
      <c r="C410" s="61"/>
      <c r="D410" s="61"/>
      <c r="E410" s="61"/>
    </row>
    <row r="411" spans="1:5" s="59" customFormat="1">
      <c r="A411" s="61"/>
      <c r="B411" s="61"/>
      <c r="C411" s="61"/>
      <c r="D411" s="61"/>
      <c r="E411" s="61"/>
    </row>
    <row r="412" spans="1:5" s="59" customFormat="1">
      <c r="A412" s="61"/>
      <c r="B412" s="61"/>
      <c r="C412" s="61"/>
      <c r="D412" s="61"/>
      <c r="E412" s="61"/>
    </row>
    <row r="413" spans="1:5" s="59" customFormat="1">
      <c r="A413" s="61"/>
      <c r="B413" s="61"/>
      <c r="C413" s="61"/>
      <c r="D413" s="61"/>
      <c r="E413" s="61"/>
    </row>
    <row r="414" spans="1:5" s="59" customFormat="1">
      <c r="A414" s="61"/>
      <c r="B414" s="61"/>
      <c r="C414" s="61"/>
      <c r="D414" s="61"/>
      <c r="E414" s="61"/>
    </row>
    <row r="415" spans="1:5" s="59" customFormat="1">
      <c r="A415" s="61"/>
      <c r="B415" s="61"/>
      <c r="C415" s="61"/>
      <c r="D415" s="61"/>
      <c r="E415" s="61"/>
    </row>
    <row r="416" spans="1:5" s="59" customFormat="1">
      <c r="A416" s="61"/>
      <c r="B416" s="61"/>
      <c r="C416" s="61"/>
      <c r="D416" s="61"/>
      <c r="E416" s="61"/>
    </row>
    <row r="417" spans="1:5" s="59" customFormat="1">
      <c r="A417" s="61"/>
      <c r="B417" s="61"/>
      <c r="C417" s="61"/>
      <c r="D417" s="61"/>
      <c r="E417" s="61"/>
    </row>
    <row r="418" spans="1:5" s="59" customFormat="1">
      <c r="A418" s="61"/>
      <c r="B418" s="61"/>
      <c r="C418" s="61"/>
      <c r="D418" s="61"/>
      <c r="E418" s="61"/>
    </row>
    <row r="419" spans="1:5" s="59" customFormat="1">
      <c r="A419" s="61"/>
      <c r="B419" s="61"/>
      <c r="C419" s="61"/>
      <c r="D419" s="61"/>
      <c r="E419" s="61"/>
    </row>
    <row r="420" spans="1:5" s="59" customFormat="1">
      <c r="A420" s="61"/>
      <c r="B420" s="61"/>
      <c r="C420" s="61"/>
      <c r="D420" s="61"/>
      <c r="E420" s="61"/>
    </row>
    <row r="421" spans="1:5" s="59" customFormat="1">
      <c r="A421" s="61"/>
      <c r="B421" s="61"/>
      <c r="C421" s="61"/>
      <c r="D421" s="61"/>
      <c r="E421" s="61"/>
    </row>
    <row r="422" spans="1:5" s="59" customFormat="1">
      <c r="A422" s="61"/>
      <c r="B422" s="61"/>
      <c r="C422" s="61"/>
      <c r="D422" s="61"/>
      <c r="E422" s="61"/>
    </row>
    <row r="423" spans="1:5" s="59" customFormat="1">
      <c r="A423" s="61"/>
      <c r="B423" s="61"/>
      <c r="C423" s="61"/>
      <c r="D423" s="61"/>
      <c r="E423" s="61"/>
    </row>
    <row r="424" spans="1:5" s="59" customFormat="1">
      <c r="A424" s="61"/>
      <c r="B424" s="61"/>
      <c r="C424" s="61"/>
      <c r="D424" s="61"/>
      <c r="E424" s="61"/>
    </row>
    <row r="425" spans="1:5" s="59" customFormat="1">
      <c r="A425" s="61"/>
      <c r="B425" s="61"/>
      <c r="C425" s="61"/>
      <c r="D425" s="61"/>
      <c r="E425" s="61"/>
    </row>
    <row r="426" spans="1:5" s="59" customFormat="1">
      <c r="A426" s="61"/>
      <c r="B426" s="61"/>
      <c r="C426" s="61"/>
      <c r="D426" s="61"/>
      <c r="E426" s="61"/>
    </row>
    <row r="427" spans="1:5" s="59" customFormat="1">
      <c r="A427" s="61"/>
      <c r="B427" s="61"/>
      <c r="C427" s="61"/>
      <c r="D427" s="61"/>
      <c r="E427" s="61"/>
    </row>
    <row r="428" spans="1:5" s="59" customFormat="1">
      <c r="A428" s="61"/>
      <c r="B428" s="61"/>
      <c r="C428" s="61"/>
      <c r="D428" s="61"/>
      <c r="E428" s="61"/>
    </row>
    <row r="429" spans="1:5" s="59" customFormat="1">
      <c r="A429" s="61"/>
      <c r="B429" s="61"/>
      <c r="C429" s="61"/>
      <c r="D429" s="61"/>
      <c r="E429" s="61"/>
    </row>
    <row r="430" spans="1:5" s="59" customFormat="1">
      <c r="A430" s="61"/>
      <c r="B430" s="61"/>
      <c r="C430" s="61"/>
      <c r="D430" s="61"/>
      <c r="E430" s="61"/>
    </row>
    <row r="431" spans="1:5" s="59" customFormat="1">
      <c r="A431" s="61"/>
      <c r="B431" s="61"/>
      <c r="C431" s="61"/>
      <c r="D431" s="61"/>
      <c r="E431" s="61"/>
    </row>
    <row r="432" spans="1:5" s="59" customFormat="1">
      <c r="A432" s="61"/>
      <c r="B432" s="61"/>
      <c r="C432" s="61"/>
      <c r="D432" s="61"/>
      <c r="E432" s="61"/>
    </row>
    <row r="433" spans="1:5" s="59" customFormat="1">
      <c r="A433" s="61"/>
      <c r="B433" s="61"/>
      <c r="C433" s="61"/>
      <c r="D433" s="61"/>
      <c r="E433" s="61"/>
    </row>
    <row r="434" spans="1:5" s="59" customFormat="1">
      <c r="A434" s="61"/>
      <c r="B434" s="61"/>
      <c r="C434" s="61"/>
      <c r="D434" s="61"/>
      <c r="E434" s="61"/>
    </row>
    <row r="435" spans="1:5" s="59" customFormat="1">
      <c r="A435" s="61"/>
      <c r="B435" s="61"/>
      <c r="C435" s="61"/>
      <c r="D435" s="61"/>
      <c r="E435" s="61"/>
    </row>
    <row r="436" spans="1:5" s="59" customFormat="1">
      <c r="A436" s="61"/>
      <c r="B436" s="61"/>
      <c r="C436" s="61"/>
      <c r="D436" s="61"/>
      <c r="E436" s="61"/>
    </row>
    <row r="437" spans="1:5" s="59" customFormat="1">
      <c r="A437" s="61"/>
      <c r="B437" s="61"/>
      <c r="C437" s="61"/>
      <c r="D437" s="61"/>
      <c r="E437" s="61"/>
    </row>
    <row r="438" spans="1:5" s="59" customFormat="1">
      <c r="A438" s="61"/>
      <c r="B438" s="61"/>
      <c r="C438" s="61"/>
      <c r="D438" s="61"/>
      <c r="E438" s="61"/>
    </row>
    <row r="439" spans="1:5" s="59" customFormat="1">
      <c r="A439" s="61"/>
      <c r="B439" s="61"/>
      <c r="C439" s="61"/>
      <c r="D439" s="61"/>
      <c r="E439" s="61"/>
    </row>
    <row r="440" spans="1:5" s="59" customFormat="1">
      <c r="A440" s="61"/>
      <c r="B440" s="61"/>
      <c r="C440" s="61"/>
      <c r="D440" s="61"/>
      <c r="E440" s="61"/>
    </row>
    <row r="441" spans="1:5" s="59" customFormat="1">
      <c r="A441" s="61"/>
      <c r="B441" s="61"/>
      <c r="C441" s="61"/>
      <c r="D441" s="61"/>
      <c r="E441" s="61"/>
    </row>
    <row r="442" spans="1:5" s="59" customFormat="1">
      <c r="A442" s="61"/>
      <c r="B442" s="61"/>
      <c r="C442" s="61"/>
      <c r="D442" s="61"/>
      <c r="E442" s="61"/>
    </row>
    <row r="443" spans="1:5" s="59" customFormat="1">
      <c r="A443" s="61"/>
      <c r="B443" s="61"/>
      <c r="C443" s="61"/>
      <c r="D443" s="61"/>
      <c r="E443" s="61"/>
    </row>
    <row r="444" spans="1:5" s="59" customFormat="1">
      <c r="A444" s="61"/>
      <c r="B444" s="61"/>
      <c r="C444" s="61"/>
      <c r="D444" s="61"/>
      <c r="E444" s="61"/>
    </row>
    <row r="445" spans="1:5" s="59" customFormat="1">
      <c r="A445" s="61"/>
      <c r="B445" s="61"/>
      <c r="C445" s="61"/>
      <c r="D445" s="61"/>
      <c r="E445" s="61"/>
    </row>
    <row r="446" spans="1:5" s="59" customFormat="1">
      <c r="A446" s="61"/>
      <c r="B446" s="61"/>
      <c r="C446" s="61"/>
      <c r="D446" s="61"/>
      <c r="E446" s="61"/>
    </row>
    <row r="447" spans="1:5" s="59" customFormat="1">
      <c r="A447" s="61"/>
      <c r="B447" s="61"/>
      <c r="C447" s="61"/>
      <c r="D447" s="61"/>
      <c r="E447" s="61"/>
    </row>
    <row r="448" spans="1:5" s="59" customFormat="1">
      <c r="A448" s="61"/>
      <c r="B448" s="61"/>
      <c r="C448" s="61"/>
      <c r="D448" s="61"/>
      <c r="E448" s="61"/>
    </row>
    <row r="449" spans="1:5" s="59" customFormat="1">
      <c r="A449" s="61"/>
      <c r="B449" s="61"/>
      <c r="C449" s="61"/>
      <c r="D449" s="61"/>
      <c r="E449" s="61"/>
    </row>
    <row r="450" spans="1:5" s="59" customFormat="1">
      <c r="A450" s="61"/>
      <c r="B450" s="61"/>
      <c r="C450" s="61"/>
      <c r="D450" s="61"/>
      <c r="E450" s="61"/>
    </row>
    <row r="451" spans="1:5" s="59" customFormat="1">
      <c r="A451" s="61"/>
      <c r="B451" s="61"/>
      <c r="C451" s="61"/>
      <c r="D451" s="61"/>
      <c r="E451" s="61"/>
    </row>
    <row r="452" spans="1:5" s="59" customFormat="1">
      <c r="A452" s="61"/>
      <c r="B452" s="61"/>
      <c r="C452" s="61"/>
      <c r="D452" s="61"/>
      <c r="E452" s="61"/>
    </row>
    <row r="453" spans="1:5" s="59" customFormat="1">
      <c r="A453" s="61"/>
      <c r="B453" s="61"/>
      <c r="C453" s="61"/>
      <c r="D453" s="61"/>
      <c r="E453" s="61"/>
    </row>
    <row r="454" spans="1:5" s="59" customFormat="1">
      <c r="A454" s="61"/>
      <c r="B454" s="61"/>
      <c r="C454" s="61"/>
      <c r="D454" s="61"/>
      <c r="E454" s="61"/>
    </row>
    <row r="455" spans="1:5" s="59" customFormat="1">
      <c r="A455" s="61"/>
      <c r="B455" s="61"/>
      <c r="C455" s="61"/>
      <c r="D455" s="61"/>
      <c r="E455" s="61"/>
    </row>
    <row r="456" spans="1:5" s="59" customFormat="1">
      <c r="A456" s="61"/>
      <c r="B456" s="61"/>
      <c r="C456" s="61"/>
      <c r="D456" s="61"/>
      <c r="E456" s="61"/>
    </row>
    <row r="457" spans="1:5" s="59" customFormat="1">
      <c r="A457" s="61"/>
      <c r="B457" s="61"/>
      <c r="C457" s="61"/>
      <c r="D457" s="61"/>
      <c r="E457" s="61"/>
    </row>
    <row r="458" spans="1:5" s="59" customFormat="1">
      <c r="A458" s="61"/>
      <c r="B458" s="61"/>
      <c r="C458" s="61"/>
      <c r="D458" s="61"/>
      <c r="E458" s="61"/>
    </row>
    <row r="459" spans="1:5" s="59" customFormat="1">
      <c r="A459" s="61"/>
      <c r="B459" s="61"/>
      <c r="C459" s="61"/>
      <c r="D459" s="61"/>
      <c r="E459" s="61"/>
    </row>
    <row r="460" spans="1:5" s="59" customFormat="1">
      <c r="A460" s="61"/>
      <c r="B460" s="61"/>
      <c r="C460" s="61"/>
      <c r="D460" s="61"/>
      <c r="E460" s="61"/>
    </row>
    <row r="461" spans="1:5" s="59" customFormat="1">
      <c r="A461" s="61"/>
      <c r="B461" s="61"/>
      <c r="C461" s="61"/>
      <c r="D461" s="61"/>
      <c r="E461" s="61"/>
    </row>
    <row r="462" spans="1:5" s="59" customFormat="1">
      <c r="A462" s="61"/>
      <c r="B462" s="61"/>
      <c r="C462" s="61"/>
      <c r="D462" s="61"/>
      <c r="E462" s="61"/>
    </row>
    <row r="463" spans="1:5" s="59" customFormat="1">
      <c r="A463" s="61"/>
      <c r="B463" s="61"/>
      <c r="C463" s="61"/>
      <c r="D463" s="61"/>
      <c r="E463" s="61"/>
    </row>
    <row r="464" spans="1:5" s="59" customFormat="1">
      <c r="A464" s="61"/>
      <c r="B464" s="61"/>
      <c r="C464" s="61"/>
      <c r="D464" s="61"/>
      <c r="E464" s="61"/>
    </row>
    <row r="465" spans="1:5" s="59" customFormat="1">
      <c r="A465" s="61"/>
      <c r="B465" s="61"/>
      <c r="C465" s="61"/>
      <c r="D465" s="61"/>
      <c r="E465" s="61"/>
    </row>
    <row r="466" spans="1:5" s="59" customFormat="1">
      <c r="A466" s="61"/>
      <c r="B466" s="61"/>
      <c r="C466" s="61"/>
      <c r="D466" s="61"/>
      <c r="E466" s="61"/>
    </row>
    <row r="467" spans="1:5" s="59" customFormat="1">
      <c r="A467" s="61"/>
      <c r="B467" s="61"/>
      <c r="C467" s="61"/>
      <c r="D467" s="61"/>
      <c r="E467" s="61"/>
    </row>
    <row r="468" spans="1:5" s="59" customFormat="1">
      <c r="A468" s="61"/>
      <c r="B468" s="61"/>
      <c r="C468" s="61"/>
      <c r="D468" s="61"/>
      <c r="E468" s="61"/>
    </row>
    <row r="469" spans="1:5" s="59" customFormat="1">
      <c r="A469" s="61"/>
      <c r="B469" s="61"/>
      <c r="C469" s="61"/>
      <c r="D469" s="61"/>
      <c r="E469" s="61"/>
    </row>
    <row r="470" spans="1:5" s="59" customFormat="1">
      <c r="A470" s="61"/>
      <c r="B470" s="61"/>
      <c r="C470" s="61"/>
      <c r="D470" s="61"/>
      <c r="E470" s="61"/>
    </row>
    <row r="471" spans="1:5" s="59" customFormat="1">
      <c r="A471" s="61"/>
      <c r="B471" s="61"/>
      <c r="C471" s="61"/>
      <c r="D471" s="61"/>
      <c r="E471" s="61"/>
    </row>
    <row r="472" spans="1:5" s="59" customFormat="1">
      <c r="A472" s="61"/>
      <c r="B472" s="61"/>
      <c r="C472" s="61"/>
      <c r="D472" s="61"/>
      <c r="E472" s="61"/>
    </row>
    <row r="473" spans="1:5" s="59" customFormat="1">
      <c r="A473" s="61"/>
      <c r="B473" s="61"/>
      <c r="C473" s="61"/>
      <c r="D473" s="61"/>
      <c r="E473" s="61"/>
    </row>
    <row r="474" spans="1:5" s="59" customFormat="1">
      <c r="A474" s="61"/>
      <c r="B474" s="61"/>
      <c r="C474" s="61"/>
      <c r="D474" s="61"/>
      <c r="E474" s="61"/>
    </row>
    <row r="475" spans="1:5" s="59" customFormat="1">
      <c r="A475" s="61"/>
      <c r="B475" s="61"/>
      <c r="C475" s="61"/>
      <c r="D475" s="61"/>
      <c r="E475" s="61"/>
    </row>
    <row r="476" spans="1:5" s="59" customFormat="1">
      <c r="A476" s="61"/>
      <c r="B476" s="61"/>
      <c r="C476" s="61"/>
      <c r="D476" s="61"/>
      <c r="E476" s="61"/>
    </row>
    <row r="477" spans="1:5" s="59" customFormat="1">
      <c r="A477" s="61"/>
      <c r="B477" s="61"/>
      <c r="C477" s="61"/>
      <c r="D477" s="61"/>
      <c r="E477" s="61"/>
    </row>
    <row r="478" spans="1:5" s="59" customFormat="1">
      <c r="A478" s="61"/>
      <c r="B478" s="61"/>
      <c r="C478" s="61"/>
      <c r="D478" s="61"/>
      <c r="E478" s="61"/>
    </row>
    <row r="479" spans="1:5" s="59" customFormat="1">
      <c r="A479" s="61"/>
      <c r="B479" s="61"/>
      <c r="C479" s="61"/>
      <c r="D479" s="61"/>
      <c r="E479" s="61"/>
    </row>
    <row r="480" spans="1:5" s="59" customFormat="1">
      <c r="A480" s="61"/>
      <c r="B480" s="61"/>
      <c r="C480" s="61"/>
      <c r="D480" s="61"/>
      <c r="E480" s="61"/>
    </row>
    <row r="481" spans="1:5" s="59" customFormat="1">
      <c r="A481" s="61"/>
      <c r="B481" s="61"/>
      <c r="C481" s="61"/>
      <c r="D481" s="61"/>
      <c r="E481" s="61"/>
    </row>
    <row r="482" spans="1:5" s="59" customFormat="1">
      <c r="A482" s="61"/>
      <c r="B482" s="61"/>
      <c r="C482" s="61"/>
      <c r="D482" s="61"/>
      <c r="E482" s="61"/>
    </row>
    <row r="483" spans="1:5" s="59" customFormat="1">
      <c r="A483" s="61"/>
      <c r="B483" s="61"/>
      <c r="C483" s="61"/>
      <c r="D483" s="61"/>
      <c r="E483" s="61"/>
    </row>
    <row r="484" spans="1:5" s="59" customFormat="1">
      <c r="A484" s="61"/>
      <c r="B484" s="61"/>
      <c r="C484" s="61"/>
      <c r="D484" s="61"/>
      <c r="E484" s="61"/>
    </row>
    <row r="485" spans="1:5" s="59" customFormat="1">
      <c r="A485" s="61"/>
      <c r="B485" s="61"/>
      <c r="C485" s="61"/>
      <c r="D485" s="61"/>
      <c r="E485" s="61"/>
    </row>
    <row r="486" spans="1:5" s="59" customFormat="1">
      <c r="A486" s="61"/>
      <c r="B486" s="61"/>
      <c r="C486" s="61"/>
      <c r="D486" s="61"/>
      <c r="E486" s="61"/>
    </row>
    <row r="487" spans="1:5" s="59" customFormat="1">
      <c r="A487" s="61"/>
      <c r="B487" s="61"/>
      <c r="C487" s="61"/>
      <c r="D487" s="61"/>
      <c r="E487" s="61"/>
    </row>
    <row r="488" spans="1:5" s="59" customFormat="1">
      <c r="A488" s="61"/>
      <c r="B488" s="61"/>
      <c r="C488" s="61"/>
      <c r="D488" s="61"/>
      <c r="E488" s="61"/>
    </row>
    <row r="489" spans="1:5" s="59" customFormat="1">
      <c r="A489" s="61"/>
      <c r="B489" s="61"/>
      <c r="C489" s="61"/>
      <c r="D489" s="61"/>
      <c r="E489" s="61"/>
    </row>
    <row r="490" spans="1:5" s="59" customFormat="1">
      <c r="A490" s="61"/>
      <c r="B490" s="61"/>
      <c r="C490" s="61"/>
      <c r="D490" s="61"/>
      <c r="E490" s="61"/>
    </row>
    <row r="491" spans="1:5" s="59" customFormat="1">
      <c r="A491" s="61"/>
      <c r="B491" s="61"/>
      <c r="C491" s="61"/>
      <c r="D491" s="61"/>
      <c r="E491" s="61"/>
    </row>
    <row r="492" spans="1:5" s="59" customFormat="1">
      <c r="A492" s="61"/>
      <c r="B492" s="61"/>
      <c r="C492" s="61"/>
      <c r="D492" s="61"/>
      <c r="E492" s="61"/>
    </row>
    <row r="493" spans="1:5" s="59" customFormat="1">
      <c r="A493" s="61"/>
      <c r="B493" s="61"/>
      <c r="C493" s="61"/>
      <c r="D493" s="61"/>
      <c r="E493" s="61"/>
    </row>
    <row r="494" spans="1:5" s="59" customFormat="1">
      <c r="A494" s="61"/>
      <c r="B494" s="61"/>
      <c r="C494" s="61"/>
      <c r="D494" s="61"/>
      <c r="E494" s="61"/>
    </row>
    <row r="495" spans="1:5" s="59" customFormat="1">
      <c r="A495" s="61"/>
      <c r="B495" s="61"/>
      <c r="C495" s="61"/>
      <c r="D495" s="61"/>
      <c r="E495" s="61"/>
    </row>
    <row r="496" spans="1:5" s="59" customFormat="1">
      <c r="A496" s="61"/>
      <c r="B496" s="61"/>
      <c r="C496" s="61"/>
      <c r="D496" s="61"/>
      <c r="E496" s="61"/>
    </row>
    <row r="497" spans="1:5" s="59" customFormat="1">
      <c r="A497" s="61"/>
      <c r="B497" s="61"/>
      <c r="C497" s="61"/>
      <c r="D497" s="61"/>
      <c r="E497" s="61"/>
    </row>
    <row r="498" spans="1:5" s="59" customFormat="1">
      <c r="A498" s="61"/>
      <c r="B498" s="61"/>
      <c r="C498" s="61"/>
      <c r="D498" s="61"/>
      <c r="E498" s="61"/>
    </row>
    <row r="499" spans="1:5" s="59" customFormat="1">
      <c r="A499" s="61"/>
      <c r="B499" s="61"/>
      <c r="C499" s="61"/>
      <c r="D499" s="61"/>
      <c r="E499" s="61"/>
    </row>
    <row r="500" spans="1:5" s="59" customFormat="1">
      <c r="A500" s="61"/>
      <c r="B500" s="61"/>
      <c r="C500" s="61"/>
      <c r="D500" s="61"/>
      <c r="E500" s="61"/>
    </row>
    <row r="501" spans="1:5" s="59" customFormat="1">
      <c r="A501" s="61"/>
      <c r="B501" s="61"/>
      <c r="C501" s="61"/>
      <c r="D501" s="61"/>
      <c r="E501" s="61"/>
    </row>
    <row r="502" spans="1:5" s="59" customFormat="1">
      <c r="A502" s="61"/>
      <c r="B502" s="61"/>
      <c r="C502" s="61"/>
      <c r="D502" s="61"/>
      <c r="E502" s="61"/>
    </row>
    <row r="503" spans="1:5" s="59" customFormat="1">
      <c r="A503" s="61"/>
      <c r="B503" s="61"/>
      <c r="C503" s="61"/>
      <c r="D503" s="61"/>
      <c r="E503" s="61"/>
    </row>
    <row r="504" spans="1:5" s="59" customFormat="1">
      <c r="A504" s="61"/>
      <c r="B504" s="61"/>
      <c r="C504" s="61"/>
      <c r="D504" s="61"/>
      <c r="E504" s="61"/>
    </row>
    <row r="505" spans="1:5" s="59" customFormat="1">
      <c r="A505" s="61"/>
      <c r="B505" s="61"/>
      <c r="C505" s="61"/>
      <c r="D505" s="61"/>
      <c r="E505" s="61"/>
    </row>
    <row r="506" spans="1:5" s="59" customFormat="1">
      <c r="A506" s="61"/>
      <c r="B506" s="61"/>
      <c r="C506" s="61"/>
      <c r="D506" s="61"/>
      <c r="E506" s="61"/>
    </row>
    <row r="507" spans="1:5" s="59" customFormat="1">
      <c r="A507" s="61"/>
      <c r="B507" s="61"/>
      <c r="C507" s="61"/>
      <c r="D507" s="61"/>
      <c r="E507" s="61"/>
    </row>
    <row r="508" spans="1:5" s="59" customFormat="1">
      <c r="A508" s="61"/>
      <c r="B508" s="61"/>
      <c r="C508" s="61"/>
      <c r="D508" s="61"/>
      <c r="E508" s="61"/>
    </row>
    <row r="509" spans="1:5" s="59" customFormat="1">
      <c r="A509" s="61"/>
      <c r="B509" s="61"/>
      <c r="C509" s="61"/>
      <c r="D509" s="61"/>
      <c r="E509" s="61"/>
    </row>
    <row r="510" spans="1:5" s="59" customFormat="1">
      <c r="A510" s="61"/>
      <c r="B510" s="61"/>
      <c r="C510" s="61"/>
      <c r="D510" s="61"/>
      <c r="E510" s="61"/>
    </row>
    <row r="511" spans="1:5" s="59" customFormat="1">
      <c r="A511" s="61"/>
      <c r="B511" s="61"/>
      <c r="C511" s="61"/>
      <c r="D511" s="61"/>
      <c r="E511" s="61"/>
    </row>
    <row r="512" spans="1:5" s="59" customFormat="1">
      <c r="A512" s="61"/>
      <c r="B512" s="61"/>
      <c r="C512" s="61"/>
      <c r="D512" s="61"/>
      <c r="E512" s="61"/>
    </row>
    <row r="513" spans="1:5" s="59" customFormat="1">
      <c r="A513" s="61"/>
      <c r="B513" s="61"/>
      <c r="C513" s="61"/>
      <c r="D513" s="61"/>
      <c r="E513" s="61"/>
    </row>
    <row r="514" spans="1:5" s="59" customFormat="1">
      <c r="A514" s="61"/>
      <c r="B514" s="61"/>
      <c r="C514" s="61"/>
      <c r="D514" s="61"/>
      <c r="E514" s="61"/>
    </row>
    <row r="515" spans="1:5" s="59" customFormat="1">
      <c r="A515" s="61"/>
      <c r="B515" s="61"/>
      <c r="C515" s="61"/>
      <c r="D515" s="61"/>
      <c r="E515" s="61"/>
    </row>
    <row r="516" spans="1:5" s="59" customFormat="1">
      <c r="A516" s="61"/>
      <c r="B516" s="61"/>
      <c r="C516" s="61"/>
      <c r="D516" s="61"/>
      <c r="E516" s="61"/>
    </row>
    <row r="517" spans="1:5" s="59" customFormat="1">
      <c r="A517" s="61"/>
      <c r="B517" s="61"/>
      <c r="C517" s="61"/>
      <c r="D517" s="61"/>
      <c r="E517" s="61"/>
    </row>
    <row r="518" spans="1:5" s="59" customFormat="1">
      <c r="A518" s="61"/>
      <c r="B518" s="61"/>
      <c r="C518" s="61"/>
      <c r="D518" s="61"/>
      <c r="E518" s="61"/>
    </row>
    <row r="519" spans="1:5" s="59" customFormat="1">
      <c r="A519" s="61"/>
      <c r="B519" s="61"/>
      <c r="C519" s="61"/>
      <c r="D519" s="61"/>
      <c r="E519" s="61"/>
    </row>
    <row r="520" spans="1:5" s="59" customFormat="1">
      <c r="A520" s="61"/>
      <c r="B520" s="61"/>
      <c r="C520" s="61"/>
      <c r="D520" s="61"/>
      <c r="E520" s="61"/>
    </row>
    <row r="521" spans="1:5" s="59" customFormat="1">
      <c r="A521" s="61"/>
      <c r="B521" s="61"/>
      <c r="C521" s="61"/>
      <c r="D521" s="61"/>
      <c r="E521" s="61"/>
    </row>
    <row r="522" spans="1:5" s="59" customFormat="1">
      <c r="A522" s="61"/>
      <c r="B522" s="61"/>
      <c r="C522" s="61"/>
      <c r="D522" s="61"/>
      <c r="E522" s="61"/>
    </row>
    <row r="523" spans="1:5" s="59" customFormat="1">
      <c r="A523" s="61"/>
      <c r="B523" s="61"/>
      <c r="C523" s="61"/>
      <c r="D523" s="61"/>
      <c r="E523" s="61"/>
    </row>
    <row r="524" spans="1:5" s="59" customFormat="1">
      <c r="A524" s="61"/>
      <c r="B524" s="61"/>
      <c r="C524" s="61"/>
      <c r="D524" s="61"/>
      <c r="E524" s="61"/>
    </row>
    <row r="525" spans="1:5" s="59" customFormat="1">
      <c r="A525" s="61"/>
      <c r="B525" s="61"/>
      <c r="C525" s="61"/>
      <c r="D525" s="61"/>
      <c r="E525" s="61"/>
    </row>
    <row r="526" spans="1:5" s="59" customFormat="1">
      <c r="A526" s="61"/>
      <c r="B526" s="61"/>
      <c r="C526" s="61"/>
      <c r="D526" s="61"/>
      <c r="E526" s="61"/>
    </row>
    <row r="527" spans="1:5" s="59" customFormat="1">
      <c r="A527" s="61"/>
      <c r="B527" s="61"/>
      <c r="C527" s="61"/>
      <c r="D527" s="61"/>
      <c r="E527" s="61"/>
    </row>
    <row r="528" spans="1:5" s="59" customFormat="1">
      <c r="A528" s="61"/>
      <c r="B528" s="61"/>
      <c r="C528" s="61"/>
      <c r="D528" s="61"/>
      <c r="E528" s="61"/>
    </row>
    <row r="529" spans="1:5" s="59" customFormat="1">
      <c r="A529" s="61"/>
      <c r="B529" s="61"/>
      <c r="C529" s="61"/>
      <c r="D529" s="61"/>
      <c r="E529" s="61"/>
    </row>
    <row r="530" spans="1:5" s="59" customFormat="1">
      <c r="A530" s="61"/>
      <c r="B530" s="61"/>
      <c r="C530" s="61"/>
      <c r="D530" s="61"/>
      <c r="E530" s="61"/>
    </row>
    <row r="531" spans="1:5" s="59" customFormat="1">
      <c r="A531" s="61"/>
      <c r="B531" s="61"/>
      <c r="C531" s="61"/>
      <c r="D531" s="61"/>
      <c r="E531" s="61"/>
    </row>
    <row r="532" spans="1:5" s="59" customFormat="1">
      <c r="A532" s="61"/>
      <c r="B532" s="61"/>
      <c r="C532" s="61"/>
      <c r="D532" s="61"/>
      <c r="E532" s="61"/>
    </row>
    <row r="533" spans="1:5" s="59" customFormat="1">
      <c r="A533" s="61"/>
      <c r="B533" s="61"/>
      <c r="C533" s="61"/>
      <c r="D533" s="61"/>
      <c r="E533" s="61"/>
    </row>
    <row r="534" spans="1:5" s="59" customFormat="1">
      <c r="A534" s="61"/>
      <c r="B534" s="61"/>
      <c r="C534" s="61"/>
      <c r="D534" s="61"/>
      <c r="E534" s="61"/>
    </row>
    <row r="535" spans="1:5" s="59" customFormat="1">
      <c r="A535" s="61"/>
      <c r="B535" s="61"/>
      <c r="C535" s="61"/>
      <c r="D535" s="61"/>
      <c r="E535" s="61"/>
    </row>
    <row r="536" spans="1:5" s="59" customFormat="1">
      <c r="A536" s="61"/>
      <c r="B536" s="61"/>
      <c r="C536" s="61"/>
      <c r="D536" s="61"/>
      <c r="E536" s="61"/>
    </row>
    <row r="537" spans="1:5" s="59" customFormat="1">
      <c r="A537" s="61"/>
      <c r="B537" s="61"/>
      <c r="C537" s="61"/>
      <c r="D537" s="61"/>
      <c r="E537" s="61"/>
    </row>
    <row r="538" spans="1:5" s="59" customFormat="1">
      <c r="A538" s="61"/>
      <c r="B538" s="61"/>
      <c r="C538" s="61"/>
      <c r="D538" s="61"/>
      <c r="E538" s="61"/>
    </row>
    <row r="539" spans="1:5" s="59" customFormat="1">
      <c r="A539" s="61"/>
      <c r="B539" s="61"/>
      <c r="C539" s="61"/>
      <c r="D539" s="61"/>
      <c r="E539" s="61"/>
    </row>
    <row r="540" spans="1:5" s="59" customFormat="1">
      <c r="A540" s="61"/>
      <c r="B540" s="61"/>
      <c r="C540" s="61"/>
      <c r="D540" s="61"/>
      <c r="E540" s="61"/>
    </row>
    <row r="541" spans="1:5" s="59" customFormat="1">
      <c r="A541" s="61"/>
      <c r="B541" s="61"/>
      <c r="C541" s="61"/>
      <c r="D541" s="61"/>
      <c r="E541" s="61"/>
    </row>
    <row r="542" spans="1:5" s="59" customFormat="1">
      <c r="A542" s="61"/>
      <c r="B542" s="61"/>
      <c r="C542" s="61"/>
      <c r="D542" s="61"/>
      <c r="E542" s="61"/>
    </row>
    <row r="543" spans="1:5" s="59" customFormat="1">
      <c r="A543" s="61"/>
      <c r="B543" s="61"/>
      <c r="C543" s="61"/>
      <c r="D543" s="61"/>
      <c r="E543" s="61"/>
    </row>
    <row r="544" spans="1:5" s="59" customFormat="1">
      <c r="A544" s="61"/>
      <c r="B544" s="61"/>
      <c r="C544" s="61"/>
      <c r="D544" s="61"/>
      <c r="E544" s="61"/>
    </row>
    <row r="545" spans="1:5" s="59" customFormat="1">
      <c r="A545" s="61"/>
      <c r="B545" s="61"/>
      <c r="C545" s="61"/>
      <c r="D545" s="61"/>
      <c r="E545" s="61"/>
    </row>
    <row r="546" spans="1:5" s="59" customFormat="1">
      <c r="A546" s="61"/>
      <c r="B546" s="61"/>
      <c r="C546" s="61"/>
      <c r="D546" s="61"/>
      <c r="E546" s="61"/>
    </row>
    <row r="547" spans="1:5" s="59" customFormat="1">
      <c r="A547" s="61"/>
      <c r="B547" s="61"/>
      <c r="C547" s="61"/>
      <c r="D547" s="61"/>
      <c r="E547" s="61"/>
    </row>
    <row r="548" spans="1:5" s="59" customFormat="1">
      <c r="A548" s="61"/>
      <c r="B548" s="61"/>
      <c r="C548" s="61"/>
      <c r="D548" s="61"/>
      <c r="E548" s="61"/>
    </row>
    <row r="549" spans="1:5" s="59" customFormat="1">
      <c r="A549" s="61"/>
      <c r="B549" s="61"/>
      <c r="C549" s="61"/>
      <c r="D549" s="61"/>
      <c r="E549" s="61"/>
    </row>
    <row r="550" spans="1:5" s="59" customFormat="1">
      <c r="A550" s="61"/>
      <c r="B550" s="61"/>
      <c r="C550" s="61"/>
      <c r="D550" s="61"/>
      <c r="E550" s="61"/>
    </row>
    <row r="551" spans="1:5" s="59" customFormat="1">
      <c r="A551" s="61"/>
      <c r="B551" s="61"/>
      <c r="C551" s="61"/>
      <c r="D551" s="61"/>
      <c r="E551" s="61"/>
    </row>
    <row r="552" spans="1:5" s="59" customFormat="1">
      <c r="A552" s="61"/>
      <c r="B552" s="61"/>
      <c r="C552" s="61"/>
      <c r="D552" s="61"/>
      <c r="E552" s="61"/>
    </row>
    <row r="553" spans="1:5" s="59" customFormat="1">
      <c r="A553" s="61"/>
      <c r="B553" s="61"/>
      <c r="C553" s="61"/>
      <c r="D553" s="61"/>
      <c r="E553" s="61"/>
    </row>
    <row r="554" spans="1:5" s="59" customFormat="1">
      <c r="A554" s="61"/>
      <c r="B554" s="61"/>
      <c r="C554" s="61"/>
      <c r="D554" s="61"/>
      <c r="E554" s="61"/>
    </row>
    <row r="555" spans="1:5" s="59" customFormat="1">
      <c r="A555" s="61"/>
      <c r="B555" s="61"/>
      <c r="C555" s="61"/>
      <c r="D555" s="61"/>
      <c r="E555" s="61"/>
    </row>
    <row r="556" spans="1:5" s="59" customFormat="1">
      <c r="A556" s="61"/>
      <c r="B556" s="61"/>
      <c r="C556" s="61"/>
      <c r="D556" s="61"/>
      <c r="E556" s="61"/>
    </row>
    <row r="557" spans="1:5" s="59" customFormat="1">
      <c r="A557" s="61"/>
      <c r="B557" s="61"/>
      <c r="C557" s="61"/>
      <c r="D557" s="61"/>
      <c r="E557" s="61"/>
    </row>
    <row r="558" spans="1:5" s="59" customFormat="1">
      <c r="A558" s="61"/>
      <c r="B558" s="61"/>
      <c r="C558" s="61"/>
      <c r="D558" s="61"/>
      <c r="E558" s="61"/>
    </row>
    <row r="559" spans="1:5" s="59" customFormat="1">
      <c r="A559" s="61"/>
      <c r="B559" s="61"/>
      <c r="C559" s="61"/>
      <c r="D559" s="61"/>
      <c r="E559" s="61"/>
    </row>
    <row r="560" spans="1:5" s="59" customFormat="1">
      <c r="A560" s="61"/>
      <c r="B560" s="61"/>
      <c r="C560" s="61"/>
      <c r="D560" s="61"/>
      <c r="E560" s="61"/>
    </row>
    <row r="561" spans="1:5" s="59" customFormat="1">
      <c r="A561" s="61"/>
      <c r="B561" s="61"/>
      <c r="C561" s="61"/>
      <c r="D561" s="61"/>
      <c r="E561" s="61"/>
    </row>
    <row r="562" spans="1:5" s="59" customFormat="1">
      <c r="A562" s="61"/>
      <c r="B562" s="61"/>
      <c r="C562" s="61"/>
      <c r="D562" s="61"/>
      <c r="E562" s="61"/>
    </row>
    <row r="563" spans="1:5" s="59" customFormat="1">
      <c r="A563" s="61"/>
      <c r="B563" s="61"/>
      <c r="C563" s="61"/>
      <c r="D563" s="61"/>
      <c r="E563" s="61"/>
    </row>
    <row r="564" spans="1:5" s="59" customFormat="1">
      <c r="A564" s="61"/>
      <c r="B564" s="61"/>
      <c r="C564" s="61"/>
      <c r="D564" s="61"/>
      <c r="E564" s="61"/>
    </row>
    <row r="565" spans="1:5" s="59" customFormat="1">
      <c r="A565" s="61"/>
      <c r="B565" s="61"/>
      <c r="C565" s="61"/>
      <c r="D565" s="61"/>
      <c r="E565" s="61"/>
    </row>
    <row r="566" spans="1:5" s="59" customFormat="1">
      <c r="A566" s="61"/>
      <c r="B566" s="61"/>
      <c r="C566" s="61"/>
      <c r="D566" s="61"/>
      <c r="E566" s="61"/>
    </row>
    <row r="567" spans="1:5" s="59" customFormat="1">
      <c r="A567" s="61"/>
      <c r="B567" s="61"/>
      <c r="C567" s="61"/>
      <c r="D567" s="61"/>
      <c r="E567" s="61"/>
    </row>
    <row r="568" spans="1:5" s="59" customFormat="1">
      <c r="A568" s="61"/>
      <c r="B568" s="61"/>
      <c r="C568" s="61"/>
      <c r="D568" s="61"/>
      <c r="E568" s="61"/>
    </row>
    <row r="569" spans="1:5" s="59" customFormat="1">
      <c r="A569" s="61"/>
      <c r="B569" s="61"/>
      <c r="C569" s="61"/>
      <c r="D569" s="61"/>
      <c r="E569" s="61"/>
    </row>
    <row r="570" spans="1:5" s="59" customFormat="1">
      <c r="A570" s="61"/>
      <c r="B570" s="61"/>
      <c r="C570" s="61"/>
      <c r="D570" s="61"/>
      <c r="E570" s="61"/>
    </row>
    <row r="571" spans="1:5" s="59" customFormat="1">
      <c r="A571" s="61"/>
      <c r="B571" s="61"/>
      <c r="C571" s="61"/>
      <c r="D571" s="61"/>
      <c r="E571" s="61"/>
    </row>
    <row r="572" spans="1:5" s="59" customFormat="1">
      <c r="A572" s="61"/>
      <c r="B572" s="61"/>
      <c r="C572" s="61"/>
      <c r="D572" s="61"/>
      <c r="E572" s="61"/>
    </row>
    <row r="573" spans="1:5" s="59" customFormat="1">
      <c r="A573" s="61"/>
      <c r="B573" s="61"/>
      <c r="C573" s="61"/>
      <c r="D573" s="61"/>
      <c r="E573" s="61"/>
    </row>
    <row r="574" spans="1:5" s="59" customFormat="1">
      <c r="A574" s="61"/>
      <c r="B574" s="61"/>
      <c r="C574" s="61"/>
      <c r="D574" s="61"/>
      <c r="E574" s="61"/>
    </row>
    <row r="575" spans="1:5" s="59" customFormat="1">
      <c r="A575" s="61"/>
      <c r="B575" s="61"/>
      <c r="C575" s="61"/>
      <c r="D575" s="61"/>
      <c r="E575" s="61"/>
    </row>
    <row r="576" spans="1:5" s="59" customFormat="1">
      <c r="A576" s="61"/>
      <c r="B576" s="61"/>
      <c r="C576" s="61"/>
      <c r="D576" s="61"/>
      <c r="E576" s="61"/>
    </row>
    <row r="577" spans="1:5" s="59" customFormat="1">
      <c r="A577" s="61"/>
      <c r="B577" s="61"/>
      <c r="C577" s="61"/>
      <c r="D577" s="61"/>
      <c r="E577" s="61"/>
    </row>
    <row r="578" spans="1:5" s="59" customFormat="1">
      <c r="A578" s="61"/>
      <c r="B578" s="61"/>
      <c r="C578" s="61"/>
      <c r="D578" s="61"/>
      <c r="E578" s="61"/>
    </row>
    <row r="579" spans="1:5" s="59" customFormat="1">
      <c r="A579" s="61"/>
      <c r="B579" s="61"/>
      <c r="C579" s="61"/>
      <c r="D579" s="61"/>
      <c r="E579" s="61"/>
    </row>
    <row r="580" spans="1:5" s="59" customFormat="1">
      <c r="A580" s="61"/>
      <c r="B580" s="61"/>
      <c r="C580" s="61"/>
      <c r="D580" s="61"/>
      <c r="E580" s="61"/>
    </row>
    <row r="581" spans="1:5" s="59" customFormat="1">
      <c r="A581" s="61"/>
      <c r="B581" s="61"/>
      <c r="C581" s="61"/>
      <c r="D581" s="61"/>
      <c r="E581" s="61"/>
    </row>
    <row r="582" spans="1:5" s="59" customFormat="1">
      <c r="A582" s="61"/>
      <c r="B582" s="61"/>
      <c r="C582" s="61"/>
      <c r="D582" s="61"/>
      <c r="E582" s="61"/>
    </row>
    <row r="583" spans="1:5" s="59" customFormat="1">
      <c r="A583" s="61"/>
      <c r="B583" s="61"/>
      <c r="C583" s="61"/>
      <c r="D583" s="61"/>
      <c r="E583" s="61"/>
    </row>
    <row r="584" spans="1:5" s="59" customFormat="1">
      <c r="A584" s="61"/>
      <c r="B584" s="61"/>
      <c r="C584" s="61"/>
      <c r="D584" s="61"/>
      <c r="E584" s="61"/>
    </row>
    <row r="585" spans="1:5" s="59" customFormat="1">
      <c r="A585" s="61"/>
      <c r="B585" s="61"/>
      <c r="C585" s="61"/>
      <c r="D585" s="61"/>
      <c r="E585" s="61"/>
    </row>
    <row r="586" spans="1:5" s="59" customFormat="1">
      <c r="A586" s="61"/>
      <c r="B586" s="61"/>
      <c r="C586" s="61"/>
      <c r="D586" s="61"/>
      <c r="E586" s="61"/>
    </row>
    <row r="587" spans="1:5" s="59" customFormat="1">
      <c r="A587" s="61"/>
      <c r="B587" s="61"/>
      <c r="C587" s="61"/>
      <c r="D587" s="61"/>
      <c r="E587" s="61"/>
    </row>
    <row r="588" spans="1:5" s="59" customFormat="1">
      <c r="A588" s="61"/>
      <c r="B588" s="61"/>
      <c r="C588" s="61"/>
      <c r="D588" s="61"/>
      <c r="E588" s="61"/>
    </row>
    <row r="589" spans="1:5" s="59" customFormat="1">
      <c r="A589" s="61"/>
      <c r="B589" s="61"/>
      <c r="C589" s="61"/>
      <c r="D589" s="61"/>
      <c r="E589" s="61"/>
    </row>
    <row r="590" spans="1:5" s="59" customFormat="1">
      <c r="A590" s="61"/>
      <c r="B590" s="61"/>
      <c r="C590" s="61"/>
      <c r="D590" s="61"/>
      <c r="E590" s="61"/>
    </row>
    <row r="591" spans="1:5" s="59" customFormat="1">
      <c r="A591" s="61"/>
      <c r="B591" s="61"/>
      <c r="C591" s="61"/>
      <c r="D591" s="61"/>
      <c r="E591" s="61"/>
    </row>
    <row r="592" spans="1:5" s="59" customFormat="1">
      <c r="A592" s="61"/>
      <c r="B592" s="61"/>
      <c r="C592" s="61"/>
      <c r="D592" s="61"/>
      <c r="E592" s="61"/>
    </row>
    <row r="593" spans="1:5" s="59" customFormat="1">
      <c r="A593" s="61"/>
      <c r="B593" s="61"/>
      <c r="C593" s="61"/>
      <c r="D593" s="61"/>
      <c r="E593" s="61"/>
    </row>
    <row r="594" spans="1:5" s="59" customFormat="1">
      <c r="A594" s="61"/>
      <c r="B594" s="61"/>
      <c r="C594" s="61"/>
      <c r="D594" s="61"/>
      <c r="E594" s="61"/>
    </row>
    <row r="595" spans="1:5" s="59" customFormat="1">
      <c r="A595" s="61"/>
      <c r="B595" s="61"/>
      <c r="C595" s="61"/>
      <c r="D595" s="61"/>
      <c r="E595" s="61"/>
    </row>
    <row r="596" spans="1:5" s="59" customFormat="1">
      <c r="A596" s="61"/>
      <c r="B596" s="61"/>
      <c r="C596" s="61"/>
      <c r="D596" s="61"/>
      <c r="E596" s="61"/>
    </row>
    <row r="597" spans="1:5" s="59" customFormat="1">
      <c r="A597" s="61"/>
      <c r="B597" s="61"/>
      <c r="C597" s="61"/>
      <c r="D597" s="61"/>
      <c r="E597" s="61"/>
    </row>
    <row r="598" spans="1:5" s="59" customFormat="1">
      <c r="A598" s="61"/>
      <c r="B598" s="61"/>
      <c r="C598" s="61"/>
      <c r="D598" s="61"/>
      <c r="E598" s="61"/>
    </row>
    <row r="599" spans="1:5" s="59" customFormat="1">
      <c r="A599" s="61"/>
      <c r="B599" s="61"/>
      <c r="C599" s="61"/>
      <c r="D599" s="61"/>
      <c r="E599" s="61"/>
    </row>
    <row r="600" spans="1:5" s="59" customFormat="1">
      <c r="A600" s="61"/>
      <c r="B600" s="61"/>
      <c r="C600" s="61"/>
      <c r="D600" s="61"/>
      <c r="E600" s="61"/>
    </row>
    <row r="601" spans="1:5" s="59" customFormat="1">
      <c r="A601" s="61"/>
      <c r="B601" s="61"/>
      <c r="C601" s="61"/>
      <c r="D601" s="61"/>
      <c r="E601" s="61"/>
    </row>
    <row r="602" spans="1:5" s="59" customFormat="1">
      <c r="A602" s="61"/>
      <c r="B602" s="61"/>
      <c r="C602" s="61"/>
      <c r="D602" s="61"/>
      <c r="E602" s="61"/>
    </row>
    <row r="603" spans="1:5" s="59" customFormat="1">
      <c r="A603" s="61"/>
      <c r="B603" s="61"/>
      <c r="C603" s="61"/>
      <c r="D603" s="61"/>
      <c r="E603" s="61"/>
    </row>
    <row r="604" spans="1:5" s="59" customFormat="1">
      <c r="A604" s="61"/>
      <c r="B604" s="61"/>
      <c r="C604" s="61"/>
      <c r="D604" s="61"/>
      <c r="E604" s="61"/>
    </row>
    <row r="605" spans="1:5" s="59" customFormat="1">
      <c r="A605" s="61"/>
      <c r="B605" s="61"/>
      <c r="C605" s="61"/>
      <c r="D605" s="61"/>
      <c r="E605" s="61"/>
    </row>
    <row r="606" spans="1:5" s="59" customFormat="1">
      <c r="A606" s="61"/>
      <c r="B606" s="61"/>
      <c r="C606" s="61"/>
      <c r="D606" s="61"/>
      <c r="E606" s="61"/>
    </row>
    <row r="607" spans="1:5" s="59" customFormat="1">
      <c r="A607" s="61"/>
      <c r="B607" s="61"/>
      <c r="C607" s="61"/>
      <c r="D607" s="61"/>
      <c r="E607" s="61"/>
    </row>
    <row r="608" spans="1:5" s="59" customFormat="1">
      <c r="A608" s="61"/>
      <c r="B608" s="61"/>
      <c r="C608" s="61"/>
      <c r="D608" s="61"/>
      <c r="E608" s="61"/>
    </row>
    <row r="609" spans="1:5" s="59" customFormat="1">
      <c r="A609" s="61"/>
      <c r="B609" s="61"/>
      <c r="C609" s="61"/>
      <c r="D609" s="61"/>
      <c r="E609" s="61"/>
    </row>
    <row r="610" spans="1:5" s="59" customFormat="1">
      <c r="A610" s="61"/>
      <c r="B610" s="61"/>
      <c r="C610" s="61"/>
      <c r="D610" s="61"/>
      <c r="E610" s="61"/>
    </row>
    <row r="611" spans="1:5" s="59" customFormat="1">
      <c r="A611" s="61"/>
      <c r="B611" s="61"/>
      <c r="C611" s="61"/>
      <c r="D611" s="61"/>
      <c r="E611" s="61"/>
    </row>
    <row r="612" spans="1:5" s="59" customFormat="1">
      <c r="A612" s="61"/>
      <c r="B612" s="61"/>
      <c r="C612" s="61"/>
      <c r="D612" s="61"/>
      <c r="E612" s="61"/>
    </row>
    <row r="613" spans="1:5" s="59" customFormat="1">
      <c r="A613" s="61"/>
      <c r="B613" s="61"/>
      <c r="C613" s="61"/>
      <c r="D613" s="61"/>
      <c r="E613" s="61"/>
    </row>
    <row r="614" spans="1:5" s="59" customFormat="1">
      <c r="A614" s="61"/>
      <c r="B614" s="61"/>
      <c r="C614" s="61"/>
      <c r="D614" s="61"/>
      <c r="E614" s="61"/>
    </row>
    <row r="615" spans="1:5" s="59" customFormat="1">
      <c r="A615" s="61"/>
      <c r="B615" s="61"/>
      <c r="C615" s="61"/>
      <c r="D615" s="61"/>
      <c r="E615" s="61"/>
    </row>
    <row r="616" spans="1:5" s="59" customFormat="1">
      <c r="A616" s="61"/>
      <c r="B616" s="61"/>
      <c r="C616" s="61"/>
      <c r="D616" s="61"/>
      <c r="E616" s="61"/>
    </row>
    <row r="617" spans="1:5" s="59" customFormat="1">
      <c r="A617" s="61"/>
      <c r="B617" s="61"/>
      <c r="C617" s="61"/>
      <c r="D617" s="61"/>
      <c r="E617" s="61"/>
    </row>
    <row r="618" spans="1:5" s="59" customFormat="1">
      <c r="A618" s="61"/>
      <c r="B618" s="61"/>
      <c r="C618" s="61"/>
      <c r="D618" s="61"/>
      <c r="E618" s="61"/>
    </row>
    <row r="619" spans="1:5" s="59" customFormat="1">
      <c r="A619" s="61"/>
      <c r="B619" s="61"/>
      <c r="C619" s="61"/>
      <c r="D619" s="61"/>
      <c r="E619" s="61"/>
    </row>
    <row r="620" spans="1:5" s="59" customFormat="1">
      <c r="A620" s="61"/>
      <c r="B620" s="61"/>
      <c r="C620" s="61"/>
      <c r="D620" s="61"/>
      <c r="E620" s="61"/>
    </row>
    <row r="621" spans="1:5" s="59" customFormat="1">
      <c r="A621" s="61"/>
      <c r="B621" s="61"/>
      <c r="C621" s="61"/>
      <c r="D621" s="61"/>
      <c r="E621" s="61"/>
    </row>
    <row r="622" spans="1:5" s="59" customFormat="1">
      <c r="A622" s="61"/>
      <c r="B622" s="61"/>
      <c r="C622" s="61"/>
      <c r="D622" s="61"/>
      <c r="E622" s="61"/>
    </row>
    <row r="623" spans="1:5" s="59" customFormat="1">
      <c r="A623" s="61"/>
      <c r="B623" s="61"/>
      <c r="C623" s="61"/>
      <c r="D623" s="61"/>
      <c r="E623" s="61"/>
    </row>
    <row r="624" spans="1:5" s="59" customFormat="1">
      <c r="A624" s="61"/>
      <c r="B624" s="61"/>
      <c r="C624" s="61"/>
      <c r="D624" s="61"/>
      <c r="E624" s="61"/>
    </row>
    <row r="625" spans="1:5" s="59" customFormat="1">
      <c r="A625" s="61"/>
      <c r="B625" s="61"/>
      <c r="C625" s="61"/>
      <c r="D625" s="61"/>
      <c r="E625" s="61"/>
    </row>
    <row r="626" spans="1:5" s="59" customFormat="1">
      <c r="A626" s="61"/>
      <c r="B626" s="61"/>
      <c r="C626" s="61"/>
      <c r="D626" s="61"/>
      <c r="E626" s="61"/>
    </row>
    <row r="627" spans="1:5" s="59" customFormat="1">
      <c r="A627" s="61"/>
      <c r="B627" s="61"/>
      <c r="C627" s="61"/>
      <c r="D627" s="61"/>
      <c r="E627" s="61"/>
    </row>
    <row r="628" spans="1:5" s="59" customFormat="1">
      <c r="A628" s="61"/>
      <c r="B628" s="61"/>
      <c r="C628" s="61"/>
      <c r="D628" s="61"/>
      <c r="E628" s="61"/>
    </row>
    <row r="629" spans="1:5" s="59" customFormat="1">
      <c r="A629" s="61"/>
      <c r="B629" s="61"/>
      <c r="C629" s="61"/>
      <c r="D629" s="61"/>
      <c r="E629" s="61"/>
    </row>
    <row r="630" spans="1:5" s="59" customFormat="1">
      <c r="A630" s="61"/>
      <c r="B630" s="61"/>
      <c r="C630" s="61"/>
      <c r="D630" s="61"/>
      <c r="E630" s="61"/>
    </row>
    <row r="631" spans="1:5" s="59" customFormat="1">
      <c r="A631" s="61"/>
      <c r="B631" s="61"/>
      <c r="C631" s="61"/>
      <c r="D631" s="61"/>
      <c r="E631" s="61"/>
    </row>
    <row r="632" spans="1:5" s="59" customFormat="1">
      <c r="A632" s="61"/>
      <c r="B632" s="61"/>
      <c r="C632" s="61"/>
      <c r="D632" s="61"/>
      <c r="E632" s="61"/>
    </row>
    <row r="633" spans="1:5" s="59" customFormat="1">
      <c r="A633" s="61"/>
      <c r="B633" s="61"/>
      <c r="C633" s="61"/>
      <c r="D633" s="61"/>
      <c r="E633" s="61"/>
    </row>
    <row r="634" spans="1:5" s="59" customFormat="1">
      <c r="A634" s="61"/>
      <c r="B634" s="61"/>
      <c r="C634" s="61"/>
      <c r="D634" s="61"/>
      <c r="E634" s="61"/>
    </row>
    <row r="635" spans="1:5" s="59" customFormat="1">
      <c r="A635" s="61"/>
      <c r="B635" s="61"/>
      <c r="C635" s="61"/>
      <c r="D635" s="61"/>
      <c r="E635" s="61"/>
    </row>
    <row r="636" spans="1:5" s="59" customFormat="1">
      <c r="A636" s="61"/>
      <c r="B636" s="61"/>
      <c r="C636" s="61"/>
      <c r="D636" s="61"/>
      <c r="E636" s="61"/>
    </row>
    <row r="637" spans="1:5" s="59" customFormat="1">
      <c r="A637" s="61"/>
      <c r="B637" s="61"/>
      <c r="C637" s="61"/>
      <c r="D637" s="61"/>
      <c r="E637" s="61"/>
    </row>
    <row r="638" spans="1:5" s="59" customFormat="1">
      <c r="A638" s="61"/>
      <c r="B638" s="61"/>
      <c r="C638" s="61"/>
      <c r="D638" s="61"/>
      <c r="E638" s="61"/>
    </row>
    <row r="639" spans="1:5" s="59" customFormat="1">
      <c r="A639" s="61"/>
      <c r="B639" s="61"/>
      <c r="C639" s="61"/>
      <c r="D639" s="61"/>
      <c r="E639" s="61"/>
    </row>
    <row r="640" spans="1:5" s="59" customFormat="1">
      <c r="A640" s="61"/>
      <c r="B640" s="61"/>
      <c r="C640" s="61"/>
      <c r="D640" s="61"/>
      <c r="E640" s="61"/>
    </row>
    <row r="641" spans="1:5" s="59" customFormat="1">
      <c r="A641" s="61"/>
      <c r="B641" s="61"/>
      <c r="C641" s="61"/>
      <c r="D641" s="61"/>
      <c r="E641" s="61"/>
    </row>
    <row r="642" spans="1:5" s="59" customFormat="1">
      <c r="A642" s="61"/>
      <c r="B642" s="61"/>
      <c r="C642" s="61"/>
      <c r="D642" s="61"/>
      <c r="E642" s="61"/>
    </row>
    <row r="643" spans="1:5" s="59" customFormat="1">
      <c r="A643" s="61"/>
      <c r="B643" s="61"/>
      <c r="C643" s="61"/>
      <c r="D643" s="61"/>
      <c r="E643" s="61"/>
    </row>
    <row r="644" spans="1:5" s="59" customFormat="1">
      <c r="A644" s="61"/>
      <c r="B644" s="61"/>
      <c r="C644" s="61"/>
      <c r="D644" s="61"/>
      <c r="E644" s="61"/>
    </row>
    <row r="645" spans="1:5" s="59" customFormat="1">
      <c r="A645" s="61"/>
      <c r="B645" s="61"/>
      <c r="C645" s="61"/>
      <c r="D645" s="61"/>
      <c r="E645" s="61"/>
    </row>
    <row r="646" spans="1:5" s="59" customFormat="1">
      <c r="A646" s="61"/>
      <c r="B646" s="61"/>
      <c r="C646" s="61"/>
      <c r="D646" s="61"/>
      <c r="E646" s="61"/>
    </row>
    <row r="647" spans="1:5" s="59" customFormat="1">
      <c r="A647" s="61"/>
      <c r="B647" s="61"/>
      <c r="C647" s="61"/>
      <c r="D647" s="61"/>
      <c r="E647" s="61"/>
    </row>
    <row r="648" spans="1:5" s="59" customFormat="1">
      <c r="A648" s="61"/>
      <c r="B648" s="61"/>
      <c r="C648" s="61"/>
      <c r="D648" s="61"/>
      <c r="E648" s="61"/>
    </row>
    <row r="649" spans="1:5" s="59" customFormat="1">
      <c r="A649" s="61"/>
      <c r="B649" s="61"/>
      <c r="C649" s="61"/>
      <c r="D649" s="61"/>
      <c r="E649" s="61"/>
    </row>
    <row r="650" spans="1:5" s="59" customFormat="1">
      <c r="A650" s="61"/>
      <c r="B650" s="61"/>
      <c r="C650" s="61"/>
      <c r="D650" s="61"/>
      <c r="E650" s="61"/>
    </row>
    <row r="651" spans="1:5" s="59" customFormat="1">
      <c r="A651" s="61"/>
      <c r="B651" s="61"/>
      <c r="C651" s="61"/>
      <c r="D651" s="61"/>
      <c r="E651" s="61"/>
    </row>
    <row r="652" spans="1:5" s="59" customFormat="1">
      <c r="A652" s="61"/>
      <c r="B652" s="61"/>
      <c r="C652" s="61"/>
      <c r="D652" s="61"/>
      <c r="E652" s="61"/>
    </row>
    <row r="653" spans="1:5" s="59" customFormat="1">
      <c r="A653" s="61"/>
      <c r="B653" s="61"/>
      <c r="C653" s="61"/>
      <c r="D653" s="61"/>
      <c r="E653" s="61"/>
    </row>
    <row r="654" spans="1:5" s="59" customFormat="1">
      <c r="A654" s="61"/>
      <c r="B654" s="61"/>
      <c r="C654" s="61"/>
      <c r="D654" s="61"/>
      <c r="E654" s="61"/>
    </row>
    <row r="655" spans="1:5" s="59" customFormat="1">
      <c r="A655" s="61"/>
      <c r="B655" s="61"/>
      <c r="C655" s="61"/>
      <c r="D655" s="61"/>
      <c r="E655" s="61"/>
    </row>
    <row r="656" spans="1:5" s="59" customFormat="1">
      <c r="A656" s="61"/>
      <c r="B656" s="61"/>
      <c r="C656" s="61"/>
      <c r="D656" s="61"/>
      <c r="E656" s="61"/>
    </row>
    <row r="657" spans="1:5" s="59" customFormat="1">
      <c r="A657" s="61"/>
      <c r="B657" s="61"/>
      <c r="C657" s="61"/>
      <c r="D657" s="61"/>
      <c r="E657" s="61"/>
    </row>
    <row r="658" spans="1:5" s="59" customFormat="1">
      <c r="A658" s="61"/>
      <c r="B658" s="61"/>
      <c r="C658" s="61"/>
      <c r="D658" s="61"/>
      <c r="E658" s="61"/>
    </row>
    <row r="659" spans="1:5" s="59" customFormat="1">
      <c r="A659" s="61"/>
      <c r="B659" s="61"/>
      <c r="C659" s="61"/>
      <c r="D659" s="61"/>
      <c r="E659" s="61"/>
    </row>
    <row r="660" spans="1:5" s="59" customFormat="1">
      <c r="A660" s="61"/>
      <c r="B660" s="61"/>
      <c r="C660" s="61"/>
      <c r="D660" s="61"/>
      <c r="E660" s="61"/>
    </row>
    <row r="661" spans="1:5" s="59" customFormat="1">
      <c r="A661" s="61"/>
      <c r="B661" s="61"/>
      <c r="C661" s="61"/>
      <c r="D661" s="61"/>
      <c r="E661" s="61"/>
    </row>
    <row r="662" spans="1:5" s="59" customFormat="1">
      <c r="A662" s="61"/>
      <c r="B662" s="61"/>
      <c r="C662" s="61"/>
      <c r="D662" s="61"/>
      <c r="E662" s="61"/>
    </row>
    <row r="663" spans="1:5" s="59" customFormat="1">
      <c r="A663" s="61"/>
      <c r="B663" s="61"/>
      <c r="C663" s="61"/>
      <c r="D663" s="61"/>
      <c r="E663" s="61"/>
    </row>
    <row r="664" spans="1:5" s="59" customFormat="1">
      <c r="A664" s="61"/>
      <c r="B664" s="61"/>
      <c r="C664" s="61"/>
      <c r="D664" s="61"/>
      <c r="E664" s="61"/>
    </row>
    <row r="665" spans="1:5" s="59" customFormat="1">
      <c r="A665" s="61"/>
      <c r="B665" s="61"/>
      <c r="C665" s="61"/>
      <c r="D665" s="61"/>
      <c r="E665" s="61"/>
    </row>
    <row r="666" spans="1:5" s="59" customFormat="1">
      <c r="A666" s="61"/>
      <c r="B666" s="61"/>
      <c r="C666" s="61"/>
      <c r="D666" s="61"/>
      <c r="E666" s="61"/>
    </row>
    <row r="667" spans="1:5" s="59" customFormat="1">
      <c r="A667" s="61"/>
      <c r="B667" s="61"/>
      <c r="C667" s="61"/>
      <c r="D667" s="61"/>
      <c r="E667" s="61"/>
    </row>
    <row r="668" spans="1:5" s="59" customFormat="1">
      <c r="A668" s="61"/>
      <c r="B668" s="61"/>
      <c r="C668" s="61"/>
      <c r="D668" s="61"/>
      <c r="E668" s="61"/>
    </row>
    <row r="669" spans="1:5" s="59" customFormat="1">
      <c r="A669" s="61"/>
      <c r="B669" s="61"/>
      <c r="C669" s="61"/>
      <c r="D669" s="61"/>
      <c r="E669" s="61"/>
    </row>
    <row r="670" spans="1:5" s="59" customFormat="1">
      <c r="A670" s="61"/>
      <c r="B670" s="61"/>
      <c r="C670" s="61"/>
      <c r="D670" s="61"/>
      <c r="E670" s="61"/>
    </row>
    <row r="671" spans="1:5" s="59" customFormat="1">
      <c r="A671" s="61"/>
      <c r="B671" s="61"/>
      <c r="C671" s="61"/>
      <c r="D671" s="61"/>
      <c r="E671" s="61"/>
    </row>
    <row r="672" spans="1:5" s="59" customFormat="1">
      <c r="A672" s="61"/>
      <c r="B672" s="61"/>
      <c r="C672" s="61"/>
      <c r="D672" s="61"/>
      <c r="E672" s="61"/>
    </row>
    <row r="673" spans="1:5" s="59" customFormat="1">
      <c r="A673" s="61"/>
      <c r="B673" s="61"/>
      <c r="C673" s="61"/>
      <c r="D673" s="61"/>
      <c r="E673" s="61"/>
    </row>
    <row r="674" spans="1:5" s="59" customFormat="1">
      <c r="A674" s="61"/>
      <c r="B674" s="61"/>
      <c r="C674" s="61"/>
      <c r="D674" s="61"/>
      <c r="E674" s="61"/>
    </row>
    <row r="675" spans="1:5" s="59" customFormat="1">
      <c r="A675" s="61"/>
      <c r="B675" s="61"/>
      <c r="C675" s="61"/>
      <c r="D675" s="61"/>
      <c r="E675" s="61"/>
    </row>
    <row r="676" spans="1:5" s="59" customFormat="1">
      <c r="A676" s="61"/>
      <c r="B676" s="61"/>
      <c r="C676" s="61"/>
      <c r="D676" s="61"/>
      <c r="E676" s="61"/>
    </row>
    <row r="677" spans="1:5" s="59" customFormat="1">
      <c r="A677" s="61"/>
      <c r="B677" s="61"/>
      <c r="C677" s="61"/>
      <c r="D677" s="61"/>
      <c r="E677" s="61"/>
    </row>
    <row r="678" spans="1:5" s="59" customFormat="1">
      <c r="A678" s="61"/>
      <c r="B678" s="61"/>
      <c r="C678" s="61"/>
      <c r="D678" s="61"/>
      <c r="E678" s="61"/>
    </row>
    <row r="679" spans="1:5" s="59" customFormat="1">
      <c r="A679" s="61"/>
      <c r="B679" s="61"/>
      <c r="C679" s="61"/>
      <c r="D679" s="61"/>
      <c r="E679" s="61"/>
    </row>
    <row r="680" spans="1:5" s="59" customFormat="1">
      <c r="A680" s="61"/>
      <c r="B680" s="61"/>
      <c r="C680" s="61"/>
      <c r="D680" s="61"/>
      <c r="E680" s="61"/>
    </row>
    <row r="681" spans="1:5" s="59" customFormat="1">
      <c r="A681" s="61"/>
      <c r="B681" s="61"/>
      <c r="C681" s="61"/>
      <c r="D681" s="61"/>
      <c r="E681" s="61"/>
    </row>
    <row r="682" spans="1:5" s="59" customFormat="1">
      <c r="A682" s="61"/>
      <c r="B682" s="61"/>
      <c r="C682" s="61"/>
      <c r="D682" s="61"/>
      <c r="E682" s="61"/>
    </row>
    <row r="683" spans="1:5" s="59" customFormat="1">
      <c r="A683" s="61"/>
      <c r="B683" s="61"/>
      <c r="C683" s="61"/>
      <c r="D683" s="61"/>
      <c r="E683" s="61"/>
    </row>
    <row r="684" spans="1:5" s="59" customFormat="1">
      <c r="A684" s="61"/>
      <c r="B684" s="61"/>
      <c r="C684" s="61"/>
      <c r="D684" s="61"/>
      <c r="E684" s="61"/>
    </row>
    <row r="685" spans="1:5" s="59" customFormat="1">
      <c r="A685" s="61"/>
      <c r="B685" s="61"/>
      <c r="C685" s="61"/>
      <c r="D685" s="61"/>
      <c r="E685" s="61"/>
    </row>
    <row r="686" spans="1:5" s="59" customFormat="1">
      <c r="A686" s="61"/>
      <c r="B686" s="61"/>
      <c r="C686" s="61"/>
      <c r="D686" s="61"/>
      <c r="E686" s="61"/>
    </row>
    <row r="687" spans="1:5" s="59" customFormat="1">
      <c r="A687" s="61"/>
      <c r="B687" s="61"/>
      <c r="C687" s="61"/>
      <c r="D687" s="61"/>
      <c r="E687" s="61"/>
    </row>
    <row r="688" spans="1:5" s="59" customFormat="1">
      <c r="A688" s="61"/>
      <c r="B688" s="61"/>
      <c r="C688" s="61"/>
      <c r="D688" s="61"/>
      <c r="E688" s="61"/>
    </row>
    <row r="689" spans="1:5" s="59" customFormat="1">
      <c r="A689" s="61"/>
      <c r="B689" s="61"/>
      <c r="C689" s="61"/>
      <c r="D689" s="61"/>
      <c r="E689" s="61"/>
    </row>
    <row r="690" spans="1:5" s="59" customFormat="1">
      <c r="A690" s="61"/>
      <c r="B690" s="61"/>
      <c r="C690" s="61"/>
      <c r="D690" s="61"/>
      <c r="E690" s="61"/>
    </row>
    <row r="691" spans="1:5" s="59" customFormat="1">
      <c r="A691" s="61"/>
      <c r="B691" s="61"/>
      <c r="C691" s="61"/>
      <c r="D691" s="61"/>
      <c r="E691" s="61"/>
    </row>
    <row r="692" spans="1:5" s="59" customFormat="1">
      <c r="A692" s="61"/>
      <c r="B692" s="61"/>
      <c r="C692" s="61"/>
      <c r="D692" s="61"/>
      <c r="E692" s="61"/>
    </row>
    <row r="693" spans="1:5" s="59" customFormat="1">
      <c r="A693" s="61"/>
      <c r="B693" s="61"/>
      <c r="C693" s="61"/>
      <c r="D693" s="61"/>
      <c r="E693" s="61"/>
    </row>
    <row r="694" spans="1:5" s="59" customFormat="1">
      <c r="A694" s="61"/>
      <c r="B694" s="61"/>
      <c r="C694" s="61"/>
      <c r="D694" s="61"/>
      <c r="E694" s="61"/>
    </row>
    <row r="695" spans="1:5" s="59" customFormat="1">
      <c r="A695" s="61"/>
      <c r="B695" s="61"/>
      <c r="C695" s="61"/>
      <c r="D695" s="61"/>
      <c r="E695" s="61"/>
    </row>
    <row r="696" spans="1:5" s="59" customFormat="1">
      <c r="A696" s="61"/>
      <c r="B696" s="61"/>
      <c r="C696" s="61"/>
      <c r="D696" s="61"/>
      <c r="E696" s="61"/>
    </row>
    <row r="697" spans="1:5" s="59" customFormat="1">
      <c r="A697" s="61"/>
      <c r="B697" s="61"/>
      <c r="C697" s="61"/>
      <c r="D697" s="61"/>
      <c r="E697" s="61"/>
    </row>
    <row r="698" spans="1:5" s="59" customFormat="1">
      <c r="A698" s="61"/>
      <c r="B698" s="61"/>
      <c r="C698" s="61"/>
      <c r="D698" s="61"/>
      <c r="E698" s="61"/>
    </row>
    <row r="699" spans="1:5" s="59" customFormat="1">
      <c r="A699" s="61"/>
      <c r="B699" s="61"/>
      <c r="C699" s="61"/>
      <c r="D699" s="61"/>
      <c r="E699" s="61"/>
    </row>
    <row r="700" spans="1:5" s="59" customFormat="1">
      <c r="A700" s="61"/>
      <c r="B700" s="61"/>
      <c r="C700" s="61"/>
      <c r="D700" s="61"/>
      <c r="E700" s="61"/>
    </row>
    <row r="701" spans="1:5" s="59" customFormat="1">
      <c r="A701" s="61"/>
      <c r="B701" s="61"/>
      <c r="C701" s="61"/>
      <c r="D701" s="61"/>
      <c r="E701" s="61"/>
    </row>
    <row r="702" spans="1:5" s="59" customFormat="1">
      <c r="A702" s="61"/>
      <c r="B702" s="61"/>
      <c r="C702" s="61"/>
      <c r="D702" s="61"/>
      <c r="E702" s="61"/>
    </row>
    <row r="703" spans="1:5" s="59" customFormat="1">
      <c r="A703" s="61"/>
      <c r="B703" s="61"/>
      <c r="C703" s="61"/>
      <c r="D703" s="61"/>
      <c r="E703" s="61"/>
    </row>
    <row r="704" spans="1:5" s="59" customFormat="1">
      <c r="A704" s="61"/>
      <c r="B704" s="61"/>
      <c r="C704" s="61"/>
      <c r="D704" s="61"/>
      <c r="E704" s="61"/>
    </row>
    <row r="705" spans="1:5" s="59" customFormat="1">
      <c r="A705" s="61"/>
      <c r="B705" s="61"/>
      <c r="C705" s="61"/>
      <c r="D705" s="61"/>
      <c r="E705" s="61"/>
    </row>
    <row r="706" spans="1:5" s="59" customFormat="1">
      <c r="A706" s="61"/>
      <c r="B706" s="61"/>
      <c r="C706" s="61"/>
      <c r="D706" s="61"/>
      <c r="E706" s="61"/>
    </row>
    <row r="707" spans="1:5" s="59" customFormat="1">
      <c r="A707" s="61"/>
      <c r="B707" s="61"/>
      <c r="C707" s="61"/>
      <c r="D707" s="61"/>
      <c r="E707" s="61"/>
    </row>
    <row r="708" spans="1:5" s="59" customFormat="1">
      <c r="A708" s="61"/>
      <c r="B708" s="61"/>
      <c r="C708" s="61"/>
      <c r="D708" s="61"/>
      <c r="E708" s="61"/>
    </row>
    <row r="709" spans="1:5" s="59" customFormat="1">
      <c r="A709" s="61"/>
      <c r="B709" s="61"/>
      <c r="C709" s="61"/>
      <c r="D709" s="61"/>
      <c r="E709" s="61"/>
    </row>
    <row r="710" spans="1:5" s="59" customFormat="1">
      <c r="A710" s="61"/>
      <c r="B710" s="61"/>
      <c r="C710" s="61"/>
      <c r="D710" s="61"/>
      <c r="E710" s="61"/>
    </row>
    <row r="711" spans="1:5" s="59" customFormat="1">
      <c r="A711" s="61"/>
      <c r="B711" s="61"/>
      <c r="C711" s="61"/>
      <c r="D711" s="61"/>
      <c r="E711" s="61"/>
    </row>
    <row r="712" spans="1:5" s="59" customFormat="1">
      <c r="A712" s="61"/>
      <c r="B712" s="61"/>
      <c r="C712" s="61"/>
      <c r="D712" s="61"/>
      <c r="E712" s="61"/>
    </row>
    <row r="713" spans="1:5" s="59" customFormat="1">
      <c r="A713" s="61"/>
      <c r="B713" s="61"/>
      <c r="C713" s="61"/>
      <c r="D713" s="61"/>
      <c r="E713" s="61"/>
    </row>
    <row r="714" spans="1:5" s="59" customFormat="1">
      <c r="A714" s="61"/>
      <c r="B714" s="61"/>
      <c r="C714" s="61"/>
      <c r="D714" s="61"/>
      <c r="E714" s="61"/>
    </row>
    <row r="715" spans="1:5" s="59" customFormat="1">
      <c r="A715" s="61"/>
      <c r="B715" s="61"/>
      <c r="C715" s="61"/>
      <c r="D715" s="61"/>
      <c r="E715" s="61"/>
    </row>
    <row r="716" spans="1:5" s="59" customFormat="1">
      <c r="A716" s="61"/>
      <c r="B716" s="61"/>
      <c r="C716" s="61"/>
      <c r="D716" s="61"/>
      <c r="E716" s="61"/>
    </row>
    <row r="717" spans="1:5" s="59" customFormat="1">
      <c r="A717" s="61"/>
      <c r="B717" s="61"/>
      <c r="C717" s="61"/>
      <c r="D717" s="61"/>
      <c r="E717" s="61"/>
    </row>
    <row r="718" spans="1:5" s="59" customFormat="1">
      <c r="A718" s="61"/>
      <c r="B718" s="61"/>
      <c r="C718" s="61"/>
      <c r="D718" s="61"/>
      <c r="E718" s="61"/>
    </row>
    <row r="719" spans="1:5" s="59" customFormat="1">
      <c r="A719" s="61"/>
      <c r="B719" s="61"/>
      <c r="C719" s="61"/>
      <c r="D719" s="61"/>
      <c r="E719" s="61"/>
    </row>
    <row r="720" spans="1:5" s="59" customFormat="1">
      <c r="A720" s="61"/>
      <c r="B720" s="61"/>
      <c r="C720" s="61"/>
      <c r="D720" s="61"/>
      <c r="E720" s="61"/>
    </row>
    <row r="721" spans="1:5" s="59" customFormat="1">
      <c r="A721" s="61"/>
      <c r="B721" s="61"/>
      <c r="C721" s="61"/>
      <c r="D721" s="61"/>
      <c r="E721" s="61"/>
    </row>
    <row r="722" spans="1:5" s="59" customFormat="1">
      <c r="A722" s="61"/>
      <c r="B722" s="61"/>
      <c r="C722" s="61"/>
      <c r="D722" s="61"/>
      <c r="E722" s="61"/>
    </row>
    <row r="723" spans="1:5" s="59" customFormat="1">
      <c r="A723" s="61"/>
      <c r="B723" s="61"/>
      <c r="C723" s="61"/>
      <c r="D723" s="61"/>
      <c r="E723" s="61"/>
    </row>
    <row r="724" spans="1:5" s="59" customFormat="1">
      <c r="A724" s="61"/>
      <c r="B724" s="61"/>
      <c r="C724" s="61"/>
      <c r="D724" s="61"/>
      <c r="E724" s="61"/>
    </row>
    <row r="725" spans="1:5" s="59" customFormat="1">
      <c r="A725" s="61"/>
      <c r="B725" s="61"/>
      <c r="C725" s="61"/>
      <c r="D725" s="61"/>
      <c r="E725" s="61"/>
    </row>
    <row r="726" spans="1:5" s="59" customFormat="1">
      <c r="A726" s="61"/>
      <c r="B726" s="61"/>
      <c r="C726" s="61"/>
      <c r="D726" s="61"/>
      <c r="E726" s="61"/>
    </row>
    <row r="727" spans="1:5" s="59" customFormat="1">
      <c r="A727" s="61"/>
      <c r="B727" s="61"/>
      <c r="C727" s="61"/>
      <c r="D727" s="61"/>
      <c r="E727" s="61"/>
    </row>
    <row r="728" spans="1:5" s="59" customFormat="1">
      <c r="A728" s="61"/>
      <c r="B728" s="61"/>
      <c r="C728" s="61"/>
      <c r="D728" s="61"/>
      <c r="E728" s="61"/>
    </row>
    <row r="729" spans="1:5" s="59" customFormat="1">
      <c r="A729" s="61"/>
      <c r="B729" s="61"/>
      <c r="C729" s="61"/>
      <c r="D729" s="61"/>
      <c r="E729" s="61"/>
    </row>
    <row r="730" spans="1:5" s="59" customFormat="1">
      <c r="A730" s="61"/>
      <c r="B730" s="61"/>
      <c r="C730" s="61"/>
      <c r="D730" s="61"/>
      <c r="E730" s="61"/>
    </row>
    <row r="731" spans="1:5" s="59" customFormat="1">
      <c r="A731" s="61"/>
      <c r="B731" s="61"/>
      <c r="C731" s="61"/>
      <c r="D731" s="61"/>
      <c r="E731" s="61"/>
    </row>
    <row r="732" spans="1:5" s="59" customFormat="1">
      <c r="A732" s="61"/>
      <c r="B732" s="61"/>
      <c r="C732" s="61"/>
      <c r="D732" s="61"/>
      <c r="E732" s="61"/>
    </row>
    <row r="733" spans="1:5" s="59" customFormat="1">
      <c r="A733" s="61"/>
      <c r="B733" s="61"/>
      <c r="C733" s="61"/>
      <c r="D733" s="61"/>
      <c r="E733" s="61"/>
    </row>
    <row r="734" spans="1:5" s="59" customFormat="1">
      <c r="A734" s="61"/>
      <c r="B734" s="61"/>
      <c r="C734" s="61"/>
      <c r="D734" s="61"/>
      <c r="E734" s="61"/>
    </row>
    <row r="735" spans="1:5" s="59" customFormat="1">
      <c r="A735" s="61"/>
      <c r="B735" s="61"/>
      <c r="C735" s="61"/>
      <c r="D735" s="61"/>
      <c r="E735" s="61"/>
    </row>
    <row r="736" spans="1:5" s="59" customFormat="1">
      <c r="A736" s="61"/>
      <c r="B736" s="61"/>
      <c r="C736" s="61"/>
      <c r="D736" s="61"/>
      <c r="E736" s="61"/>
    </row>
    <row r="737" spans="1:5" s="59" customFormat="1">
      <c r="A737" s="61"/>
      <c r="B737" s="61"/>
      <c r="C737" s="61"/>
      <c r="D737" s="61"/>
      <c r="E737" s="61"/>
    </row>
    <row r="738" spans="1:5" s="59" customFormat="1">
      <c r="A738" s="61"/>
      <c r="B738" s="61"/>
      <c r="C738" s="61"/>
      <c r="D738" s="61"/>
      <c r="E738" s="61"/>
    </row>
    <row r="739" spans="1:5" s="59" customFormat="1">
      <c r="A739" s="61"/>
      <c r="B739" s="61"/>
      <c r="C739" s="61"/>
      <c r="D739" s="61"/>
      <c r="E739" s="61"/>
    </row>
    <row r="740" spans="1:5" s="59" customFormat="1">
      <c r="A740" s="61"/>
      <c r="B740" s="61"/>
      <c r="C740" s="61"/>
      <c r="D740" s="61"/>
      <c r="E740" s="61"/>
    </row>
    <row r="741" spans="1:5" s="59" customFormat="1">
      <c r="A741" s="61"/>
      <c r="B741" s="61"/>
      <c r="C741" s="61"/>
      <c r="D741" s="61"/>
      <c r="E741" s="61"/>
    </row>
    <row r="742" spans="1:5" s="59" customFormat="1">
      <c r="A742" s="61"/>
      <c r="B742" s="61"/>
      <c r="C742" s="61"/>
      <c r="D742" s="61"/>
      <c r="E742" s="61"/>
    </row>
    <row r="743" spans="1:5" s="59" customFormat="1">
      <c r="A743" s="61"/>
      <c r="B743" s="61"/>
      <c r="C743" s="61"/>
      <c r="D743" s="61"/>
      <c r="E743" s="61"/>
    </row>
    <row r="744" spans="1:5" s="59" customFormat="1">
      <c r="A744" s="61"/>
      <c r="B744" s="61"/>
      <c r="C744" s="61"/>
      <c r="D744" s="61"/>
      <c r="E744" s="61"/>
    </row>
    <row r="745" spans="1:5" s="59" customFormat="1">
      <c r="A745" s="61"/>
      <c r="B745" s="61"/>
      <c r="C745" s="61"/>
      <c r="D745" s="61"/>
      <c r="E745" s="61"/>
    </row>
    <row r="746" spans="1:5" s="59" customFormat="1">
      <c r="A746" s="61"/>
      <c r="B746" s="61"/>
      <c r="C746" s="61"/>
      <c r="D746" s="61"/>
      <c r="E746" s="61"/>
    </row>
    <row r="747" spans="1:5" s="59" customFormat="1">
      <c r="A747" s="61"/>
      <c r="B747" s="61"/>
      <c r="C747" s="61"/>
      <c r="D747" s="61"/>
      <c r="E747" s="61"/>
    </row>
    <row r="748" spans="1:5" s="59" customFormat="1">
      <c r="A748" s="61"/>
      <c r="B748" s="61"/>
      <c r="C748" s="61"/>
      <c r="D748" s="61"/>
      <c r="E748" s="61"/>
    </row>
    <row r="749" spans="1:5" s="59" customFormat="1">
      <c r="A749" s="61"/>
      <c r="B749" s="61"/>
      <c r="C749" s="61"/>
      <c r="D749" s="61"/>
      <c r="E749" s="61"/>
    </row>
  </sheetData>
  <sheetProtection formatCells="0" selectLockedCells="1"/>
  <mergeCells count="37">
    <mergeCell ref="BA43:BB43"/>
    <mergeCell ref="AT43:AU43"/>
    <mergeCell ref="AU7:BC7"/>
    <mergeCell ref="K7:S7"/>
    <mergeCell ref="F4:BD4"/>
    <mergeCell ref="K6:S6"/>
    <mergeCell ref="W6:X6"/>
    <mergeCell ref="AC6:AD6"/>
    <mergeCell ref="Z6:AA6"/>
    <mergeCell ref="X7:AD7"/>
    <mergeCell ref="AP6:AQ6"/>
    <mergeCell ref="AI6:AN6"/>
    <mergeCell ref="AI7:AQ7"/>
    <mergeCell ref="AU6:BC6"/>
    <mergeCell ref="Z32:AC34"/>
    <mergeCell ref="F9:BD9"/>
    <mergeCell ref="AO12:BC12"/>
    <mergeCell ref="AC13:AD13"/>
    <mergeCell ref="AL13:AM13"/>
    <mergeCell ref="AS13:AT13"/>
    <mergeCell ref="BA13:BB13"/>
    <mergeCell ref="K15:L15"/>
    <mergeCell ref="T15:U15"/>
    <mergeCell ref="AC15:AD15"/>
    <mergeCell ref="AL15:AM15"/>
    <mergeCell ref="L31:M31"/>
    <mergeCell ref="L32:M32"/>
    <mergeCell ref="I43:J43"/>
    <mergeCell ref="AQ39:AS39"/>
    <mergeCell ref="M39:N39"/>
    <mergeCell ref="T39:U39"/>
    <mergeCell ref="AB39:AC39"/>
    <mergeCell ref="AJ39:AK39"/>
    <mergeCell ref="AN43:AO43"/>
    <mergeCell ref="AH43:AI43"/>
    <mergeCell ref="AA43:AB43"/>
    <mergeCell ref="T43:U43"/>
  </mergeCells>
  <conditionalFormatting sqref="BA12:BC12">
    <cfRule type="expression" dxfId="5" priority="3">
      <formula>AND(BC13&gt;0,BL13&gt;0)</formula>
    </cfRule>
  </conditionalFormatting>
  <conditionalFormatting sqref="AR12:AZ12">
    <cfRule type="expression" dxfId="4" priority="5">
      <formula>AND(#REF!&gt;0,BC13&gt;0)</formula>
    </cfRule>
  </conditionalFormatting>
  <conditionalFormatting sqref="AO12:AQ12">
    <cfRule type="expression" dxfId="3" priority="6">
      <formula>AND(#REF!&gt;0,#REF!&gt;0)</formula>
    </cfRule>
  </conditionalFormatting>
  <conditionalFormatting sqref="Z32:AC34">
    <cfRule type="expression" dxfId="2" priority="4">
      <formula>OR(#REF!&gt;8,#REF!&lt;#REF!)</formula>
    </cfRule>
  </conditionalFormatting>
  <dataValidations count="2">
    <dataValidation type="custom" allowBlank="1" showErrorMessage="1" error="Ensure Max Pavement Elevation is above Bedding Elevation" sqref="AS13:AT13" xr:uid="{1E8AA359-309D-4B7B-BE94-710F978D039C}">
      <formula1>BA13:BB13&lt;AS13:AT13</formula1>
    </dataValidation>
    <dataValidation type="custom" allowBlank="1" showErrorMessage="1" error="Ensure Min Pavement Elevation is above Bedding Elevation" sqref="BA13:BB13" xr:uid="{992BD805-E774-4A6D-99FF-B4C083F8FF31}">
      <formula1>BA13&gt;AL13</formula1>
    </dataValidation>
  </dataValidations>
  <printOptions horizontalCentered="1" verticalCentered="1"/>
  <pageMargins left="0" right="0" top="0" bottom="0" header="0" footer="0"/>
  <pageSetup scale="78" orientation="landscape" r:id="rId1"/>
  <colBreaks count="1" manualBreakCount="1">
    <brk id="56"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2049" r:id="rId4" name="Drop Down A">
              <controlPr defaultSize="0" autoLine="0" autoPict="0" macro="[0]!DropDownA_Change">
                <anchor moveWithCells="1">
                  <from>
                    <xdr:col>22</xdr:col>
                    <xdr:colOff>38100</xdr:colOff>
                    <xdr:row>9</xdr:row>
                    <xdr:rowOff>95250</xdr:rowOff>
                  </from>
                  <to>
                    <xdr:col>26</xdr:col>
                    <xdr:colOff>38100</xdr:colOff>
                    <xdr:row>11</xdr:row>
                    <xdr:rowOff>19050</xdr:rowOff>
                  </to>
                </anchor>
              </controlPr>
            </control>
          </mc:Choice>
        </mc:AlternateContent>
        <mc:AlternateContent xmlns:mc="http://schemas.openxmlformats.org/markup-compatibility/2006">
          <mc:Choice Requires="x14">
            <control shapeId="2050" r:id="rId5" name="Drop Down 2">
              <controlPr defaultSize="0" autoLine="0" autoPict="0">
                <anchor moveWithCells="1">
                  <from>
                    <xdr:col>30</xdr:col>
                    <xdr:colOff>76200</xdr:colOff>
                    <xdr:row>9</xdr:row>
                    <xdr:rowOff>95250</xdr:rowOff>
                  </from>
                  <to>
                    <xdr:col>34</xdr:col>
                    <xdr:colOff>76200</xdr:colOff>
                    <xdr:row>10</xdr:row>
                    <xdr:rowOff>209550</xdr:rowOff>
                  </to>
                </anchor>
              </controlPr>
            </control>
          </mc:Choice>
        </mc:AlternateContent>
        <mc:AlternateContent xmlns:mc="http://schemas.openxmlformats.org/markup-compatibility/2006">
          <mc:Choice Requires="x14">
            <control shapeId="2051" r:id="rId6" name="Drop Down 3">
              <controlPr defaultSize="0" autoLine="0" autoPict="0">
                <anchor moveWithCells="1">
                  <from>
                    <xdr:col>48</xdr:col>
                    <xdr:colOff>0</xdr:colOff>
                    <xdr:row>9</xdr:row>
                    <xdr:rowOff>95250</xdr:rowOff>
                  </from>
                  <to>
                    <xdr:col>53</xdr:col>
                    <xdr:colOff>76200</xdr:colOff>
                    <xdr:row>10</xdr:row>
                    <xdr:rowOff>209550</xdr:rowOff>
                  </to>
                </anchor>
              </controlPr>
            </control>
          </mc:Choice>
        </mc:AlternateContent>
        <mc:AlternateContent xmlns:mc="http://schemas.openxmlformats.org/markup-compatibility/2006">
          <mc:Choice Requires="x14">
            <control shapeId="2054" r:id="rId7" name="Drop Down 6">
              <controlPr defaultSize="0" autoLine="0" autoPict="0" macro="[0]!DropDown6_Change">
                <anchor moveWithCells="1">
                  <from>
                    <xdr:col>48</xdr:col>
                    <xdr:colOff>19050</xdr:colOff>
                    <xdr:row>14</xdr:row>
                    <xdr:rowOff>0</xdr:rowOff>
                  </from>
                  <to>
                    <xdr:col>53</xdr:col>
                    <xdr:colOff>95250</xdr:colOff>
                    <xdr:row>15</xdr:row>
                    <xdr:rowOff>0</xdr:rowOff>
                  </to>
                </anchor>
              </controlPr>
            </control>
          </mc:Choice>
        </mc:AlternateContent>
        <mc:AlternateContent xmlns:mc="http://schemas.openxmlformats.org/markup-compatibility/2006">
          <mc:Choice Requires="x14">
            <control shapeId="15033" r:id="rId8" name="Drop Down 2745">
              <controlPr defaultSize="0" autoLine="0" autoPict="0">
                <anchor moveWithCells="1">
                  <from>
                    <xdr:col>38</xdr:col>
                    <xdr:colOff>95250</xdr:colOff>
                    <xdr:row>9</xdr:row>
                    <xdr:rowOff>95250</xdr:rowOff>
                  </from>
                  <to>
                    <xdr:col>43</xdr:col>
                    <xdr:colOff>76200</xdr:colOff>
                    <xdr:row>11</xdr:row>
                    <xdr:rowOff>0</xdr:rowOff>
                  </to>
                </anchor>
              </controlPr>
            </control>
          </mc:Choice>
        </mc:AlternateContent>
        <mc:AlternateContent xmlns:mc="http://schemas.openxmlformats.org/markup-compatibility/2006">
          <mc:Choice Requires="x14">
            <control shapeId="36598" r:id="rId9" name="Drop Down 5878">
              <controlPr defaultSize="0" autoLine="0" autoPict="0" macro="[0]!DropDownA_Change">
                <anchor moveWithCells="1">
                  <from>
                    <xdr:col>8</xdr:col>
                    <xdr:colOff>57150</xdr:colOff>
                    <xdr:row>9</xdr:row>
                    <xdr:rowOff>95250</xdr:rowOff>
                  </from>
                  <to>
                    <xdr:col>11</xdr:col>
                    <xdr:colOff>104775</xdr:colOff>
                    <xdr:row>11</xdr:row>
                    <xdr:rowOff>9525</xdr:rowOff>
                  </to>
                </anchor>
              </controlPr>
            </control>
          </mc:Choice>
        </mc:AlternateContent>
        <mc:AlternateContent xmlns:mc="http://schemas.openxmlformats.org/markup-compatibility/2006">
          <mc:Choice Requires="x14">
            <control shapeId="36600" r:id="rId10" name="Drop Down 5880">
              <controlPr defaultSize="0" autoLine="0" autoPict="0" macro="[0]!DropDownA_Change">
                <anchor moveWithCells="1">
                  <from>
                    <xdr:col>14</xdr:col>
                    <xdr:colOff>295275</xdr:colOff>
                    <xdr:row>9</xdr:row>
                    <xdr:rowOff>95250</xdr:rowOff>
                  </from>
                  <to>
                    <xdr:col>18</xdr:col>
                    <xdr:colOff>133350</xdr:colOff>
                    <xdr:row>11</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9" id="{71A0A477-2D14-4CDF-BD13-8852214307C9}">
            <xm:f>'LB Calcs'!J56="Yes"</xm:f>
            <x14:dxf>
              <font>
                <color rgb="FFFFFFFF"/>
              </font>
              <fill>
                <patternFill patternType="none">
                  <bgColor auto="1"/>
                </patternFill>
              </fill>
            </x14:dxf>
          </x14:cfRule>
          <xm:sqref>O31</xm:sqref>
        </x14:conditionalFormatting>
        <x14:conditionalFormatting xmlns:xm="http://schemas.microsoft.com/office/excel/2006/main">
          <x14:cfRule type="expression" priority="10" id="{1D1A5676-1D5E-4F2C-939D-40029135DC63}">
            <xm:f>'LB Calcs'!J55="Yes"</xm:f>
            <x14:dxf>
              <font>
                <color rgb="FFFFFFFF"/>
              </font>
              <fill>
                <patternFill patternType="none">
                  <bgColor auto="1"/>
                </patternFill>
              </fill>
            </x14:dxf>
          </x14:cfRule>
          <xm:sqref>O32</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7">
    <pageSetUpPr fitToPage="1"/>
  </sheetPr>
  <dimension ref="A1:Q71"/>
  <sheetViews>
    <sheetView workbookViewId="0">
      <selection activeCell="I23" sqref="I23"/>
    </sheetView>
  </sheetViews>
  <sheetFormatPr defaultColWidth="7.7109375" defaultRowHeight="11.25"/>
  <cols>
    <col min="1" max="1" width="7.7109375" style="1"/>
    <col min="2" max="2" width="27.7109375" style="1" bestFit="1" customWidth="1"/>
    <col min="3" max="3" width="10.5703125" style="1" customWidth="1"/>
    <col min="4" max="4" width="9.85546875" style="1" bestFit="1" customWidth="1"/>
    <col min="5" max="5" width="9.42578125" style="1" customWidth="1"/>
    <col min="6" max="6" width="40.85546875" style="1" bestFit="1" customWidth="1"/>
    <col min="7" max="7" width="9.28515625" style="107" bestFit="1" customWidth="1"/>
    <col min="8" max="8" width="9.42578125" style="1" customWidth="1"/>
    <col min="9" max="9" width="20.42578125" style="104" bestFit="1" customWidth="1"/>
    <col min="10" max="10" width="13.85546875" style="104" bestFit="1" customWidth="1"/>
    <col min="11" max="11" width="11.42578125" style="1" customWidth="1"/>
    <col min="12" max="12" width="32.7109375" style="1" bestFit="1" customWidth="1"/>
    <col min="13" max="13" width="11.5703125" style="1" bestFit="1" customWidth="1"/>
    <col min="14" max="14" width="7.7109375" style="1"/>
    <col min="15" max="15" width="20.140625" style="1" bestFit="1" customWidth="1"/>
    <col min="16" max="16" width="12" style="1" customWidth="1"/>
    <col min="17" max="17" width="7.7109375" style="1"/>
    <col min="18" max="18" width="14.28515625" style="1" bestFit="1" customWidth="1"/>
    <col min="19" max="19" width="9.28515625" style="1" customWidth="1"/>
    <col min="20" max="20" width="23.28515625" style="1" customWidth="1"/>
    <col min="21" max="16384" width="7.7109375" style="1"/>
  </cols>
  <sheetData>
    <row r="1" spans="1:17" ht="22.5">
      <c r="F1" s="162"/>
      <c r="I1" s="142" t="s">
        <v>224</v>
      </c>
      <c r="J1" s="142" t="s">
        <v>226</v>
      </c>
      <c r="K1" s="128" t="s">
        <v>40</v>
      </c>
      <c r="L1" s="133" t="s">
        <v>68</v>
      </c>
      <c r="M1" s="133" t="s">
        <v>69</v>
      </c>
      <c r="N1" s="136" t="s">
        <v>70</v>
      </c>
      <c r="O1" s="186" t="s">
        <v>71</v>
      </c>
      <c r="P1" s="138" t="s">
        <v>225</v>
      </c>
      <c r="Q1" s="139"/>
    </row>
    <row r="2" spans="1:17">
      <c r="I2" s="117"/>
      <c r="K2" s="163" t="s">
        <v>186</v>
      </c>
      <c r="L2" s="134" t="s">
        <v>75</v>
      </c>
      <c r="M2" s="134" t="str">
        <f>IF(A4=4,"8 in (200 mm)","")</f>
        <v/>
      </c>
      <c r="N2" s="131">
        <v>0</v>
      </c>
      <c r="O2" s="140" t="s">
        <v>77</v>
      </c>
      <c r="P2" s="134" t="s">
        <v>110</v>
      </c>
      <c r="Q2" s="140">
        <v>39.370100000000001</v>
      </c>
    </row>
    <row r="3" spans="1:17" ht="13.5" thickBot="1">
      <c r="B3" s="14" t="s">
        <v>66</v>
      </c>
      <c r="C3" s="143" t="s">
        <v>66</v>
      </c>
      <c r="D3" s="143" t="s">
        <v>227</v>
      </c>
      <c r="F3" s="14" t="s">
        <v>67</v>
      </c>
      <c r="I3" s="117"/>
      <c r="K3" s="129" t="s">
        <v>80</v>
      </c>
      <c r="L3" s="135" t="s">
        <v>81</v>
      </c>
      <c r="M3" s="134" t="str">
        <f>IF(A4=4,"10 in (250 mm)","")</f>
        <v/>
      </c>
      <c r="N3" s="131">
        <v>1</v>
      </c>
      <c r="O3" s="141" t="s">
        <v>82</v>
      </c>
      <c r="P3" s="134" t="s">
        <v>113</v>
      </c>
      <c r="Q3" s="140">
        <v>3.28</v>
      </c>
    </row>
    <row r="4" spans="1:17" ht="12" thickBot="1">
      <c r="A4" s="16">
        <v>1</v>
      </c>
      <c r="B4" s="1" t="s">
        <v>40</v>
      </c>
      <c r="C4" s="1" t="str">
        <f>IF(A4=3,"HS75",IF(A4=2,"HS180",IF(A4=1,"HS290","HS31")))</f>
        <v>HS290</v>
      </c>
      <c r="F4" s="1" t="s">
        <v>72</v>
      </c>
      <c r="G4" s="113">
        <f>IF(C4="HS75",((G33*Tables!Q16)+(G32*Tables!O16)),IF(C4="HS180",((G33*Tables!Q17)+(G32*Tables!O17)),IF(C4="HS31",((G33*Tables!Q15)+(G32*Tables!O15)),((G33*Tables!Q18)+(G32*Tables!O18)))))</f>
        <v>27271.200000000001</v>
      </c>
      <c r="H4" s="1" t="s">
        <v>73</v>
      </c>
      <c r="I4" s="117">
        <f>G4/Q4</f>
        <v>772.23365907115169</v>
      </c>
      <c r="K4" s="129" t="s">
        <v>74</v>
      </c>
      <c r="M4" s="134" t="s">
        <v>76</v>
      </c>
      <c r="N4" s="132">
        <v>2</v>
      </c>
      <c r="P4" s="134" t="s">
        <v>115</v>
      </c>
      <c r="Q4" s="140">
        <v>35.314700000000002</v>
      </c>
    </row>
    <row r="5" spans="1:17" ht="12" thickBot="1">
      <c r="A5" s="16">
        <v>4</v>
      </c>
      <c r="B5" s="1" t="s">
        <v>78</v>
      </c>
      <c r="C5" s="1">
        <f>IF(A5=1,8,IF(A5=2,10,IF(A5=3,12,IF(A5=4,15,IF(A5=5,18,IF(A5=6,24,IF(A5=7,30,IF(A5=8,36))))))))</f>
        <v>15</v>
      </c>
      <c r="F5" s="1" t="s">
        <v>79</v>
      </c>
      <c r="G5" s="115">
        <f>IF(C7="YES",((((VLOOKUP(C5,Tables!C3:Q11,12,0)+A21)/12)*('LB Calcs'!C8))+('LB Calcs'!G19-(VLOOKUP(C4,Tables!C15:R18,3,0)/12)))*C6*VLOOKUP(C5,Tables!C3:S11,8,0),0)</f>
        <v>157.34106472788119</v>
      </c>
      <c r="H5" s="1" t="s">
        <v>73</v>
      </c>
      <c r="I5" s="117">
        <f>G5/Q4</f>
        <v>4.4553985940098935</v>
      </c>
      <c r="K5" s="130" t="s">
        <v>184</v>
      </c>
      <c r="M5" s="131" t="str">
        <f>IF(A4=4,"","15 in. (375 mm)")</f>
        <v>15 in. (375 mm)</v>
      </c>
      <c r="P5" s="134" t="s">
        <v>117</v>
      </c>
      <c r="Q5" s="140">
        <v>1.30795062</v>
      </c>
    </row>
    <row r="6" spans="1:17">
      <c r="A6" s="16">
        <v>2</v>
      </c>
      <c r="B6" s="1" t="s">
        <v>83</v>
      </c>
      <c r="C6" s="1">
        <f>INDEX(N2:N4,A6)</f>
        <v>1</v>
      </c>
      <c r="F6" s="1" t="s">
        <v>84</v>
      </c>
      <c r="G6" s="118">
        <f>G5/VLOOKUP(C5,Tables!C2:W11,8,FALSE)*VLOOKUP(C5,Tables!C2:W11,17,FALSE)</f>
        <v>202.35971937623691</v>
      </c>
      <c r="H6" s="1" t="s">
        <v>73</v>
      </c>
      <c r="I6" s="117">
        <f>G6/Q4</f>
        <v>5.7301837301813947</v>
      </c>
      <c r="K6" s="104"/>
      <c r="M6" s="131" t="str">
        <f>IF(A4=4,"","18 in. (450 mm)")</f>
        <v>18 in. (450 mm)</v>
      </c>
      <c r="P6" s="134" t="s">
        <v>119</v>
      </c>
      <c r="Q6" s="140">
        <v>1.1959900000000001</v>
      </c>
    </row>
    <row r="7" spans="1:17">
      <c r="A7" s="16">
        <v>1</v>
      </c>
      <c r="B7" s="1" t="s">
        <v>85</v>
      </c>
      <c r="C7" s="1" t="str">
        <f>IF(A7=1,"YES","NO")</f>
        <v>YES</v>
      </c>
      <c r="F7" s="1" t="s">
        <v>86</v>
      </c>
      <c r="G7" s="115">
        <f>((G9*G35)-G6-G4)*C10</f>
        <v>15880.587964321261</v>
      </c>
      <c r="H7" s="1" t="s">
        <v>73</v>
      </c>
      <c r="I7" s="117">
        <f>G7/Q4</f>
        <v>449.68774941656761</v>
      </c>
      <c r="K7" s="104"/>
      <c r="M7" s="131" t="str">
        <f>IF(A4=4,"","24 in. (600 mm)")</f>
        <v>24 in. (600 mm)</v>
      </c>
      <c r="P7" s="134" t="s">
        <v>121</v>
      </c>
      <c r="Q7" s="140">
        <v>10.7639</v>
      </c>
    </row>
    <row r="8" spans="1:17" ht="12" thickBot="1">
      <c r="B8" s="1" t="s">
        <v>269</v>
      </c>
      <c r="C8" s="1">
        <f>'Layout-Based Calculator'!K13</f>
        <v>12</v>
      </c>
      <c r="F8" s="1" t="s">
        <v>87</v>
      </c>
      <c r="G8" s="115">
        <f>G4+G5+G7</f>
        <v>43309.129029049145</v>
      </c>
      <c r="H8" s="1" t="s">
        <v>73</v>
      </c>
      <c r="I8" s="117">
        <f>G8/Q4</f>
        <v>1226.3768070817291</v>
      </c>
      <c r="K8" s="104"/>
      <c r="M8" s="131"/>
      <c r="P8" s="135" t="s">
        <v>123</v>
      </c>
      <c r="Q8" s="141">
        <v>3.9370000000000002E-2</v>
      </c>
    </row>
    <row r="9" spans="1:17" ht="12" thickBot="1">
      <c r="B9" s="1" t="s">
        <v>88</v>
      </c>
      <c r="C9" s="1">
        <f>'Layout-Based Calculator'!T13</f>
        <v>20</v>
      </c>
      <c r="F9" s="1" t="s">
        <v>89</v>
      </c>
      <c r="G9" s="119">
        <f>G21*G20</f>
        <v>10013.669013194443</v>
      </c>
      <c r="H9" s="1" t="s">
        <v>90</v>
      </c>
      <c r="I9" s="117">
        <f>G9/Q7</f>
        <v>930.3011931729618</v>
      </c>
      <c r="K9" s="104"/>
      <c r="L9" s="17"/>
      <c r="M9" s="137" t="str">
        <f>IF(A4=4,"",IF(A4=1,"",IF(A4=2,"","36 in. (900 mm)")))</f>
        <v/>
      </c>
    </row>
    <row r="10" spans="1:17" ht="12" thickBot="1">
      <c r="A10" s="1">
        <f>'Layout-Based Calculator'!AC13</f>
        <v>40</v>
      </c>
      <c r="B10" s="1" t="s">
        <v>49</v>
      </c>
      <c r="C10" s="1">
        <f>A10/100</f>
        <v>0.4</v>
      </c>
      <c r="F10" s="1" t="s">
        <v>91</v>
      </c>
      <c r="G10" s="119">
        <f>((G9*G35)-G6-G4)/27</f>
        <v>1470.4248115112277</v>
      </c>
      <c r="H10" s="1" t="s">
        <v>92</v>
      </c>
      <c r="I10" s="117">
        <f>G10/Q5</f>
        <v>1124.2204323518176</v>
      </c>
      <c r="P10" s="138" t="s">
        <v>126</v>
      </c>
      <c r="Q10" s="139"/>
    </row>
    <row r="11" spans="1:17">
      <c r="B11" s="1" t="s">
        <v>93</v>
      </c>
      <c r="C11" s="1">
        <f>'Layout-Based Calculator'!T15</f>
        <v>0</v>
      </c>
      <c r="D11" s="1">
        <f>IF(Draft!$S$3=2,'LB Calcs'!C11*1,'LB Calcs'!C11/$Q$2)</f>
        <v>0</v>
      </c>
      <c r="F11" s="1" t="s">
        <v>94</v>
      </c>
      <c r="G11" s="118">
        <f>IF(A19=1,(((G9*2)+(G20*2+G21*2)*G35)*1.2)/9,((((G9*2)+(G20*2+G21*2)*G35)*1.2*2)-G9)/9)</f>
        <v>4947.4284637191349</v>
      </c>
      <c r="H11" s="1" t="s">
        <v>95</v>
      </c>
      <c r="I11" s="117">
        <f>G11/Q6</f>
        <v>4136.6804603041282</v>
      </c>
      <c r="K11" s="138" t="s">
        <v>256</v>
      </c>
      <c r="L11" s="179" t="s">
        <v>259</v>
      </c>
      <c r="P11" s="134" t="s">
        <v>109</v>
      </c>
      <c r="Q11" s="140" t="str">
        <f>IF(Draft!$S$3=2,'LB Calcs'!P12,'LB Calcs'!P13)</f>
        <v>ft</v>
      </c>
    </row>
    <row r="12" spans="1:17">
      <c r="B12" s="1" t="s">
        <v>96</v>
      </c>
      <c r="C12" s="1">
        <f>'Layout-Based Calculator'!K15</f>
        <v>0</v>
      </c>
      <c r="D12" s="1">
        <f>IF(Draft!$S$3=2,'LB Calcs'!C12*1,'LB Calcs'!C12*$Q$8)</f>
        <v>0</v>
      </c>
      <c r="F12" s="1" t="s">
        <v>183</v>
      </c>
      <c r="G12" s="119">
        <f>IF(C4="HS180",Tables!F17/12,IF(C4="HS75",Tables!F16/12,IF(C4="HS31",Tables!F15/12,Tables!F18/12)))</f>
        <v>4.0249999999999995</v>
      </c>
      <c r="I12" s="117">
        <f>IF(Draft!$S$3=2,'LB Calcs'!G13,G13/$Q$3)</f>
        <v>85.893449999999987</v>
      </c>
      <c r="J12" s="104" t="str">
        <f>ROUND(I12,1)&amp;" "&amp;$Q$11</f>
        <v>85.9 ft</v>
      </c>
      <c r="K12" s="134" t="s">
        <v>257</v>
      </c>
      <c r="L12" s="180"/>
      <c r="P12" s="134" t="s">
        <v>98</v>
      </c>
      <c r="Q12" s="140" t="str">
        <f>IF(Draft!$S$3=2,'LB Calcs'!P11,'LB Calcs'!P14)</f>
        <v>in</v>
      </c>
    </row>
    <row r="13" spans="1:17" ht="12" thickBot="1">
      <c r="B13" s="1" t="s">
        <v>99</v>
      </c>
      <c r="C13" s="1">
        <f>'Layout-Based Calculator'!AC15</f>
        <v>0</v>
      </c>
      <c r="D13" s="1">
        <f>IF(Draft!$S$3=2,'LB Calcs'!C13*1,'LB Calcs'!C13*$Q$8)</f>
        <v>0</v>
      </c>
      <c r="F13" s="1" t="s">
        <v>97</v>
      </c>
      <c r="G13" s="120">
        <f>((C9*G12)+(2*IF(C4="HS75",Tables!P16,IF(C4="HS180",Tables!P17,IF(C4="HS31",Tables!P15,Tables!P18))))/12)</f>
        <v>85.893449999999987</v>
      </c>
      <c r="H13" s="1" t="s">
        <v>98</v>
      </c>
      <c r="I13" s="117"/>
      <c r="K13" s="135" t="s">
        <v>258</v>
      </c>
      <c r="L13" s="180" t="str">
        <f>IF($A$19=1,"","10 mil")</f>
        <v>10 mil</v>
      </c>
      <c r="P13" s="134" t="s">
        <v>129</v>
      </c>
      <c r="Q13" s="140"/>
    </row>
    <row r="14" spans="1:17" ht="12" thickBot="1">
      <c r="B14" s="1" t="s">
        <v>101</v>
      </c>
      <c r="C14" s="1">
        <f>'Layout-Based Calculator'!AL15</f>
        <v>0</v>
      </c>
      <c r="D14" s="1">
        <f>IF(Draft!$S$3=2,'LB Calcs'!C14*1,'LB Calcs'!C14*$Q$8)</f>
        <v>0</v>
      </c>
      <c r="F14" s="1" t="s">
        <v>199</v>
      </c>
      <c r="G14" s="119">
        <f>(IF(C4="HS290",VLOOKUP(C5,Tables!C3:W11,21,TRUE),IF(C4="HS180",(VLOOKUP(C5,Tables!C3:W11,20,TRUE)),IF(C4="HS75",(VLOOKUP(C5,Tables!C3:W11,19,TRUE)),(VLOOKUP(C5,Tables!C3:W11,18,FALSE)))))/12)</f>
        <v>0.96833333333333327</v>
      </c>
      <c r="H14" s="1" t="s">
        <v>98</v>
      </c>
      <c r="I14" s="104">
        <f>IF(C6&gt;0,G18+(C6*1),G13+(IF(OR(C4="HS75","HS180"),1,2)))</f>
        <v>89.79261666666666</v>
      </c>
      <c r="J14" s="155"/>
      <c r="L14" s="180" t="str">
        <f>IF($A$19=1,"","20 mil")</f>
        <v>20 mil</v>
      </c>
      <c r="P14" s="135" t="s">
        <v>131</v>
      </c>
      <c r="Q14" s="141"/>
    </row>
    <row r="15" spans="1:17">
      <c r="B15" s="1" t="s">
        <v>103</v>
      </c>
      <c r="C15" s="1">
        <f t="shared" ref="C15" si="0">A15</f>
        <v>0</v>
      </c>
      <c r="F15" s="1" t="s">
        <v>200</v>
      </c>
      <c r="G15" s="119">
        <f>(VLOOKUP(C5,Tables!C3:W11,14,FALSE)/12)</f>
        <v>1.9308333333333334</v>
      </c>
      <c r="H15" s="1" t="s">
        <v>98</v>
      </c>
      <c r="L15" s="180" t="str">
        <f>IF($A$19=1,"","30 mil")</f>
        <v>30 mil</v>
      </c>
    </row>
    <row r="16" spans="1:17">
      <c r="A16" s="1">
        <v>2</v>
      </c>
      <c r="B16" s="1" t="s">
        <v>105</v>
      </c>
      <c r="C16" s="20">
        <f>IF(Draft!$S$3=2,'LB Calcs'!D16,'LB Calcs'!D16*'LB Calcs'!$L$18)</f>
        <v>9</v>
      </c>
      <c r="D16" s="1">
        <f>'Layout-Based Calculator'!AS13</f>
        <v>9</v>
      </c>
      <c r="G16" s="121"/>
      <c r="H16" s="1" t="s">
        <v>98</v>
      </c>
      <c r="I16" s="117"/>
      <c r="L16" s="180" t="str">
        <f>IF($A$19=1,"","40 mil")</f>
        <v>40 mil</v>
      </c>
    </row>
    <row r="17" spans="1:13" ht="12" thickBot="1">
      <c r="A17" s="1">
        <f>'Layout-Based Calculator'!BA13</f>
        <v>7</v>
      </c>
      <c r="B17" s="1" t="s">
        <v>107</v>
      </c>
      <c r="C17" s="20">
        <f>IF(Draft!$S$3=2,'LB Calcs'!D17,'LB Calcs'!D17*'LB Calcs'!$L$18)</f>
        <v>7</v>
      </c>
      <c r="D17" s="1">
        <f>'Layout-Based Calculator'!BA13</f>
        <v>7</v>
      </c>
      <c r="H17" s="1" t="s">
        <v>98</v>
      </c>
      <c r="I17" s="117"/>
      <c r="L17" s="181" t="str">
        <f>IF($A$19=1,"","60 mil")</f>
        <v>60 mil</v>
      </c>
    </row>
    <row r="18" spans="1:13">
      <c r="A18" s="1">
        <f>'Layout-Based Calculator'!AL13</f>
        <v>0</v>
      </c>
      <c r="B18" s="1" t="s">
        <v>111</v>
      </c>
      <c r="C18" s="1">
        <f>IF(Draft!$S$3=2,'LB Calcs'!D18,'LB Calcs'!D18*'LB Calcs'!$L$18)</f>
        <v>0</v>
      </c>
      <c r="D18" s="1">
        <f>'Layout-Based Calculator'!AL13</f>
        <v>0</v>
      </c>
      <c r="F18" s="1" t="s">
        <v>100</v>
      </c>
      <c r="G18" s="120">
        <f>G13+G14*C6+G15*C6</f>
        <v>88.79261666666666</v>
      </c>
      <c r="H18" s="1" t="s">
        <v>98</v>
      </c>
      <c r="I18" s="117"/>
    </row>
    <row r="19" spans="1:13">
      <c r="A19" s="1">
        <v>2</v>
      </c>
      <c r="B19" s="1" t="s">
        <v>256</v>
      </c>
      <c r="F19" s="1" t="s">
        <v>102</v>
      </c>
      <c r="G19" s="189">
        <f>((C8*G23)+((C8-1)*G22))/12</f>
        <v>108.29166666666667</v>
      </c>
      <c r="H19" s="1" t="s">
        <v>98</v>
      </c>
      <c r="I19" s="117">
        <f>IF(Draft!$S$3=2,'LB Calcs'!G19,G19/$Q$3)</f>
        <v>108.29166666666667</v>
      </c>
      <c r="J19" s="126" t="str">
        <f>ROUND(I19,1)&amp;" "&amp;$Q$11</f>
        <v>108.3 ft</v>
      </c>
    </row>
    <row r="20" spans="1:13">
      <c r="A20" s="1">
        <v>4</v>
      </c>
      <c r="B20" s="1" t="s">
        <v>262</v>
      </c>
      <c r="F20" s="1" t="s">
        <v>104</v>
      </c>
      <c r="G20" s="188">
        <f>G18+2</f>
        <v>90.79261666666666</v>
      </c>
      <c r="H20" s="1" t="s">
        <v>98</v>
      </c>
      <c r="I20" s="117">
        <f>IF(Draft!$S$3=2,'LB Calcs'!G20,G20/$Q$3)</f>
        <v>90.79261666666666</v>
      </c>
      <c r="J20" s="126" t="str">
        <f>ROUND(I20,1)&amp;" "&amp;$Q$11</f>
        <v>90.8 ft</v>
      </c>
      <c r="L20" s="1" t="s">
        <v>146</v>
      </c>
      <c r="M20" s="1" t="s">
        <v>272</v>
      </c>
    </row>
    <row r="21" spans="1:13">
      <c r="A21" s="190">
        <f>VLOOKUP(C5,Tables!C2:W11,C21,FALSE)</f>
        <v>11.62</v>
      </c>
      <c r="B21" s="1" t="s">
        <v>270</v>
      </c>
      <c r="C21" s="1">
        <f>IF(C4="HS290",21,IF(C4="HS180",20,IF(C4="HS75",19,18)))</f>
        <v>21</v>
      </c>
      <c r="F21" s="1" t="s">
        <v>106</v>
      </c>
      <c r="G21" s="187">
        <f>(G19+(2*(G24/12)))+(2*(A13/12))+((C8-1)*(A14/12))</f>
        <v>110.29166666666667</v>
      </c>
      <c r="H21" s="1" t="s">
        <v>98</v>
      </c>
      <c r="I21" s="117">
        <f>IF(Draft!$S$3=2,'LB Calcs'!G21,G21/$Q$3)</f>
        <v>110.29166666666667</v>
      </c>
      <c r="J21" s="127" t="str">
        <f>ROUND(I21,1)&amp;" "&amp;$Q$11</f>
        <v>110.3 ft</v>
      </c>
      <c r="L21" s="1" t="s">
        <v>184</v>
      </c>
      <c r="M21" s="1">
        <v>8</v>
      </c>
    </row>
    <row r="22" spans="1:13" ht="15">
      <c r="A22"/>
      <c r="B22"/>
      <c r="F22" s="1" t="s">
        <v>108</v>
      </c>
      <c r="G22" s="123">
        <f>(IF(C4="HS75",Tables!H16,IF(C4="HS180",Tables!H17,IF(C4="HS31",Tables!H15,Tables!H18))))+$D$14</f>
        <v>8.5</v>
      </c>
      <c r="H22" s="1" t="s">
        <v>109</v>
      </c>
      <c r="I22" s="117">
        <f>IF(Draft!$S$3=2,'LB Calcs'!G22,G22/$Q$8)</f>
        <v>8.5</v>
      </c>
      <c r="J22" s="104" t="str">
        <f>ROUND(I22,1)&amp;" "&amp;$Q$12</f>
        <v>8.5 in</v>
      </c>
      <c r="L22" s="1" t="s">
        <v>74</v>
      </c>
      <c r="M22" s="1">
        <v>8</v>
      </c>
    </row>
    <row r="23" spans="1:13" ht="15">
      <c r="A23"/>
      <c r="B23"/>
      <c r="F23" s="1" t="s">
        <v>112</v>
      </c>
      <c r="G23" s="114">
        <f>IF(C4="HS75",Tables!E16,IF(C4="HS180",Tables!E17,IF(C4="HS31",Tables!E15,Tables!E18)))</f>
        <v>100.5</v>
      </c>
      <c r="H23" s="1" t="s">
        <v>109</v>
      </c>
      <c r="I23" s="117">
        <f>IF(Draft!$S$3=2,'LB Calcs'!G23,G23/$Q$8)</f>
        <v>100.5</v>
      </c>
      <c r="J23" s="104" t="str">
        <f>ROUND(I23,1)&amp;" "&amp;$Q$12</f>
        <v>100.5 in</v>
      </c>
      <c r="L23" s="1" t="s">
        <v>80</v>
      </c>
      <c r="M23" s="1">
        <v>7</v>
      </c>
    </row>
    <row r="24" spans="1:13" ht="15">
      <c r="A24"/>
      <c r="B24"/>
      <c r="C24" s="9">
        <f>G5/VLOOKUP(C5,Tables!C2:W11,8)*VLOOKUP(C5,Tables!C2:W11,17)</f>
        <v>202.35971937623691</v>
      </c>
      <c r="F24" s="1" t="s">
        <v>114</v>
      </c>
      <c r="G24" s="144">
        <f>(IF(C4="HS75",Tables!I16,IF(C4="HS180",Tables!I17,IF(C4="HS31",Tables!I15,Tables!I18))))+$D$13</f>
        <v>12</v>
      </c>
      <c r="H24" s="17" t="s">
        <v>109</v>
      </c>
      <c r="I24" s="145">
        <f>IF(Draft!$S$3=2,'LB Calcs'!G24,G24/$Q$8)</f>
        <v>12</v>
      </c>
      <c r="J24" s="104" t="str">
        <f>ROUND(I24,0)&amp;" "&amp;$Q$12</f>
        <v>12 in</v>
      </c>
      <c r="L24" s="1" t="s">
        <v>186</v>
      </c>
      <c r="M24" s="1">
        <v>8</v>
      </c>
    </row>
    <row r="25" spans="1:13">
      <c r="C25" s="1">
        <f>IF(C7="YES",(((VLOOKUP(C5,Tables!C3:Q11,12,0)/12)*('LB Calcs'!C8-1))+('LB Calcs'!G19-(VLOOKUP(C4,Tables!C15:R18,3,0)/12)))*C6*VLOOKUP(C5,Tables!C3:S11,17,0),0)</f>
        <v>181.75887950751834</v>
      </c>
      <c r="F25" s="1" t="s">
        <v>116</v>
      </c>
      <c r="G25" s="114">
        <f>IF(C4="HS75",Tables!J16,IF(C4="HS180",Tables!J17,IF(C4="HS31",Tables!J15,Tables!J18)))</f>
        <v>12</v>
      </c>
      <c r="H25" s="1" t="s">
        <v>109</v>
      </c>
      <c r="I25" s="117">
        <f>IF(Draft!$S$3=2,'LB Calcs'!G25,G25/$Q$8)</f>
        <v>12</v>
      </c>
    </row>
    <row r="26" spans="1:13">
      <c r="F26" s="1" t="s">
        <v>118</v>
      </c>
      <c r="G26" s="114">
        <f>(IF(C4="HS75",VLOOKUP("HS75",Tables!C15:R18,9,FALSE),IF(C4="HS180",VLOOKUP("HS180",Tables!C15:R18,9,FALSE),IF(C4="HS31",VLOOKUP("HS31",Tables!C15:R18,9,FALSE),VLOOKUP("HS290",Tables!C15:R18,9,FALSE)))))+$D$11</f>
        <v>9</v>
      </c>
      <c r="H26" s="1" t="s">
        <v>98</v>
      </c>
      <c r="I26" s="117">
        <f>IF(Draft!$S$3=2,'LB Calcs'!G26,G26/$Q$8)</f>
        <v>9</v>
      </c>
      <c r="J26" s="17" t="str">
        <f>ROUND(I26,0)&amp;" "&amp;$Q$12</f>
        <v>9 in</v>
      </c>
    </row>
    <row r="27" spans="1:13">
      <c r="F27" s="1" t="s">
        <v>120</v>
      </c>
      <c r="G27" s="114">
        <f>(IF(C4="HS75",VLOOKUP("HS75",Tables!C15:R18,2,FALSE),IF(C4="HS180",VLOOKUP("HS180",Tables!C15:R18,2,FALSE),IF(C4="HS31",VLOOKUP("HS31",Tables!C15:R18,2,FALSE),VLOOKUP("HS290",Tables!C15:R18,2,FALSE)))))</f>
        <v>59.5</v>
      </c>
      <c r="I27" s="117">
        <f>IF(Draft!$S$3=2,'LB Calcs'!G27,G27/$Q$8)</f>
        <v>59.5</v>
      </c>
      <c r="J27" s="104" t="str">
        <f>ROUND(I27,0)&amp;" "&amp;$Q$12</f>
        <v>60 in</v>
      </c>
    </row>
    <row r="28" spans="1:13">
      <c r="F28" s="1" t="s">
        <v>122</v>
      </c>
      <c r="G28" s="114">
        <f>(IF(C4="HS75",VLOOKUP("HS75",Tables!C15:R18,10,FALSE),IF(C4="HS180",VLOOKUP("HS180",Tables!C15:R18,10,FALSE),IF(C4="HS31",VLOOKUP("HS31",Tables!C15:R18,10,FALSE),VLOOKUP("HS290",Tables!C15:R18,10,FALSE)))))+D12</f>
        <v>12</v>
      </c>
      <c r="I28" s="117">
        <f>IF(Draft!$S$3=2,'LB Calcs'!G28,G28/$Q$8)</f>
        <v>12</v>
      </c>
      <c r="J28" s="104" t="str">
        <f>ROUND(I28,0)&amp;" "&amp;$Q$12</f>
        <v>12 in</v>
      </c>
    </row>
    <row r="29" spans="1:13">
      <c r="F29" s="1" t="s">
        <v>124</v>
      </c>
      <c r="G29" s="114">
        <f>MAX(0,(IF(C4="HS75",VLOOKUP("HS75",Tables!C15:R18,11,FALSE),IF(C4="HS180",VLOOKUP("HS180",Tables!C15:R18,11,FALSE),IF(C4="HS31",VLOOKUP("HS31",Tables!C15:R18,11,FALSE),VLOOKUP("HS290",Tables!C15:R18,11,FALSE))))-G28))</f>
        <v>12</v>
      </c>
      <c r="H29" s="1" t="s">
        <v>98</v>
      </c>
      <c r="I29" s="117">
        <f>IF(Draft!$S$3=2,'LB Calcs'!G29,G29/$Q$8)</f>
        <v>12</v>
      </c>
      <c r="J29" s="104" t="str">
        <f>ROUND(I29,0)&amp;" "&amp;$Q$12</f>
        <v>12 in</v>
      </c>
    </row>
    <row r="30" spans="1:13">
      <c r="F30" s="111" t="s">
        <v>218</v>
      </c>
      <c r="G30" s="146">
        <f>(IF(C4="HS75",VLOOKUP("HS75",Tables!C15:R18,11,FALSE),IF(C4="HS180",VLOOKUP("HS180",Tables!C15:R18,11,FALSE),IF(C4="HS31",VLOOKUP("HS31",Tables!C15:R18,11,FALSE),VLOOKUP("HS290",Tables!C15:R18,11,FALSE)))))</f>
        <v>24</v>
      </c>
      <c r="I30" s="117">
        <f>IF(Draft!$S$3=2,'LB Calcs'!G30,G30/$Q$8)</f>
        <v>24</v>
      </c>
      <c r="J30" s="104" t="str">
        <f>ROUND(I30,0)&amp;" "&amp;$Q$12</f>
        <v>24 in</v>
      </c>
    </row>
    <row r="31" spans="1:13">
      <c r="F31" s="111" t="s">
        <v>125</v>
      </c>
      <c r="G31" s="112" t="e">
        <f>(((D16+D17)/2)-D18)-#REF!</f>
        <v>#REF!</v>
      </c>
      <c r="H31" s="1" t="s">
        <v>109</v>
      </c>
      <c r="I31" s="117"/>
    </row>
    <row r="32" spans="1:13" ht="12" customHeight="1">
      <c r="F32" s="1" t="s">
        <v>41</v>
      </c>
      <c r="G32" s="113">
        <f>(C8*C9)-C15</f>
        <v>240</v>
      </c>
      <c r="I32" s="117"/>
    </row>
    <row r="33" spans="6:16">
      <c r="F33" s="1" t="s">
        <v>44</v>
      </c>
      <c r="G33" s="113">
        <f>C8*2</f>
        <v>24</v>
      </c>
      <c r="I33" s="117"/>
    </row>
    <row r="34" spans="6:16">
      <c r="F34" s="1" t="s">
        <v>182</v>
      </c>
      <c r="G34" s="113">
        <f>IF(C4="HS180",Tables!P17/12,IF(C4="HS75",Tables!P16/12,IF(C4="HS31",Tables!P15/12,Tables!P18/12)))</f>
        <v>2.6967250000000003</v>
      </c>
      <c r="I34" s="117">
        <f>IF(Draft!$S$3=2,'LB Calcs'!G36,G36/$Q$8)</f>
        <v>24</v>
      </c>
      <c r="J34" s="104" t="str">
        <f>ROUND(I34,0)&amp;" "&amp;$Q$12</f>
        <v>24 in</v>
      </c>
    </row>
    <row r="35" spans="6:16" ht="11.25" customHeight="1">
      <c r="F35" s="1" t="s">
        <v>127</v>
      </c>
      <c r="G35" s="124">
        <f>(G26+G27+G28)/12</f>
        <v>6.708333333333333</v>
      </c>
      <c r="I35" s="117"/>
    </row>
    <row r="36" spans="6:16">
      <c r="F36" s="1" t="s">
        <v>128</v>
      </c>
      <c r="G36" s="123">
        <f>ROUND((VLOOKUP(C4,Tables!C15:Q18,11,0)),0)</f>
        <v>24</v>
      </c>
      <c r="I36" s="117"/>
      <c r="L36" s="162" t="s">
        <v>245</v>
      </c>
    </row>
    <row r="37" spans="6:16">
      <c r="F37" s="1" t="s">
        <v>247</v>
      </c>
      <c r="G37" s="107">
        <f>VLOOKUP(C4,Tables!C15:S18,17,FALSE)</f>
        <v>7</v>
      </c>
      <c r="H37" s="1" t="s">
        <v>98</v>
      </c>
      <c r="I37" s="117">
        <f>G39/Q6</f>
        <v>83.543061954252678</v>
      </c>
    </row>
    <row r="38" spans="6:16">
      <c r="I38" s="117">
        <f>G40/Q6</f>
        <v>230.52330426397094</v>
      </c>
    </row>
    <row r="39" spans="6:16">
      <c r="F39" s="1" t="s">
        <v>130</v>
      </c>
      <c r="G39" s="115">
        <f>(G19-(G23/12))</f>
        <v>99.916666666666671</v>
      </c>
      <c r="H39" s="1" t="s">
        <v>98</v>
      </c>
      <c r="I39" s="117"/>
    </row>
    <row r="40" spans="6:16">
      <c r="F40" s="1" t="s">
        <v>268</v>
      </c>
      <c r="G40" s="115">
        <f>IF(C4="HS290",(G13+2)*2+G39,(G13+2)+G39)</f>
        <v>275.70356666666663</v>
      </c>
      <c r="H40" s="1" t="s">
        <v>98</v>
      </c>
    </row>
    <row r="42" spans="6:16">
      <c r="F42" s="1" t="s">
        <v>244</v>
      </c>
      <c r="G42" s="1" t="str">
        <f>IF(C6=2,"DM","SM")</f>
        <v>SM</v>
      </c>
      <c r="I42" s="9"/>
      <c r="J42" s="1"/>
    </row>
    <row r="44" spans="6:16" ht="12.75">
      <c r="F44" s="14" t="s">
        <v>222</v>
      </c>
      <c r="G44" s="113"/>
      <c r="I44" s="117"/>
      <c r="L44" s="14"/>
      <c r="M44" s="113"/>
      <c r="O44" s="117"/>
      <c r="P44" s="104"/>
    </row>
    <row r="45" spans="6:16">
      <c r="F45" s="1" t="s">
        <v>132</v>
      </c>
      <c r="G45" s="147">
        <f>($G$26+$G$27+$G$29+$G$28)/12</f>
        <v>7.708333333333333</v>
      </c>
      <c r="H45" s="113"/>
      <c r="M45" s="113"/>
      <c r="N45" s="113"/>
      <c r="O45" s="104"/>
      <c r="P45" s="104"/>
    </row>
    <row r="46" spans="6:16">
      <c r="F46" s="1" t="s">
        <v>219</v>
      </c>
      <c r="G46" s="113" cm="1">
        <f t="array" ref="G46:H46">'Layout-Based Calculator'!AS13:AT13</f>
        <v>9</v>
      </c>
      <c r="H46" s="113">
        <v>0</v>
      </c>
      <c r="M46" s="113"/>
      <c r="N46" s="113"/>
      <c r="O46" s="104"/>
      <c r="P46" s="104"/>
    </row>
    <row r="47" spans="6:16">
      <c r="F47" s="1" t="s">
        <v>220</v>
      </c>
      <c r="G47" s="113" cm="1">
        <f t="array" ref="G47:H47">'Layout-Based Calculator'!BA13:BB13</f>
        <v>7</v>
      </c>
      <c r="H47" s="113">
        <v>0</v>
      </c>
      <c r="M47" s="113"/>
      <c r="N47" s="113"/>
      <c r="O47" s="104"/>
      <c r="P47" s="104"/>
    </row>
    <row r="48" spans="6:16">
      <c r="F48" s="104" t="s">
        <v>228</v>
      </c>
      <c r="G48" s="148" cm="1">
        <f t="array" ref="G48:H48">'Layout-Based Calculator'!AL13:AM13</f>
        <v>0</v>
      </c>
      <c r="H48" s="113">
        <v>0</v>
      </c>
      <c r="L48" s="104"/>
      <c r="M48" s="148"/>
      <c r="N48" s="113"/>
      <c r="O48" s="104"/>
      <c r="P48" s="104"/>
    </row>
    <row r="49" spans="6:16">
      <c r="F49" s="1" t="s">
        <v>229</v>
      </c>
      <c r="G49" s="122">
        <f>G48+G45</f>
        <v>7.708333333333333</v>
      </c>
      <c r="H49" s="113"/>
      <c r="M49" s="122"/>
      <c r="N49" s="113"/>
      <c r="O49" s="104"/>
      <c r="P49" s="104"/>
    </row>
    <row r="50" spans="6:16">
      <c r="F50" s="1" t="s">
        <v>230</v>
      </c>
      <c r="G50" s="165">
        <f>G48+G37+(($G$26+$G$27)/12)</f>
        <v>12.708333333333332</v>
      </c>
      <c r="H50" s="113" t="s">
        <v>98</v>
      </c>
      <c r="M50" s="124"/>
      <c r="N50" s="113"/>
      <c r="O50" s="104"/>
      <c r="P50" s="104"/>
    </row>
    <row r="51" spans="6:16">
      <c r="F51" s="1" t="s">
        <v>133</v>
      </c>
      <c r="G51" s="125" t="str">
        <f>IF(G50&gt;=G46, "Yes","No")</f>
        <v>Yes</v>
      </c>
      <c r="H51" s="113"/>
      <c r="M51" s="125"/>
      <c r="N51" s="113"/>
      <c r="O51" s="104"/>
      <c r="P51" s="104"/>
    </row>
    <row r="52" spans="6:16">
      <c r="F52" s="1" t="s">
        <v>134</v>
      </c>
      <c r="G52" s="124" t="str">
        <f>IF(G49&lt;=G47, "Yes","No")</f>
        <v>No</v>
      </c>
      <c r="H52" s="113"/>
      <c r="M52" s="124"/>
      <c r="N52" s="113"/>
      <c r="O52" s="104"/>
      <c r="P52" s="104"/>
    </row>
    <row r="53" spans="6:16">
      <c r="F53" s="1" t="s">
        <v>231</v>
      </c>
      <c r="G53" s="124">
        <f>ROUND(G47-((G26+G27))/12,1)</f>
        <v>1.3</v>
      </c>
      <c r="M53" s="124"/>
      <c r="O53" s="104"/>
      <c r="P53" s="104"/>
    </row>
    <row r="54" spans="6:16">
      <c r="F54" s="1" t="s">
        <v>232</v>
      </c>
      <c r="G54" s="124">
        <f>ROUND(G46-((G26+G27))/12,1)</f>
        <v>3.3</v>
      </c>
      <c r="M54" s="124"/>
      <c r="O54" s="104"/>
      <c r="P54" s="104"/>
    </row>
    <row r="55" spans="6:16" ht="12.75">
      <c r="F55" s="14" t="s">
        <v>223</v>
      </c>
      <c r="G55" s="113"/>
      <c r="I55" s="143" t="s">
        <v>133</v>
      </c>
      <c r="J55" s="150" t="str">
        <f>IF(Draft!$S$3=2,(IF(G50&gt;=G46, "Yes","No")),(IF(G61&gt;=G57,"Yes","No")))</f>
        <v>Yes</v>
      </c>
      <c r="K55" s="1" t="s">
        <v>242</v>
      </c>
      <c r="L55" s="14"/>
      <c r="M55" s="113"/>
      <c r="O55" s="143"/>
      <c r="P55" s="150"/>
    </row>
    <row r="56" spans="6:16">
      <c r="F56" s="1" t="s">
        <v>132</v>
      </c>
      <c r="G56" s="147">
        <f>(($G$26+$G$27+$G$29+$G$28)/12)/Q3</f>
        <v>2.3501016260162602</v>
      </c>
      <c r="H56" s="113"/>
      <c r="I56" s="143" t="s">
        <v>134</v>
      </c>
      <c r="J56" s="151" t="str">
        <f>IF(Draft!$S$3=2,(IF(G49&lt;=G47,"Yes","No")),(IF(G60&lt;=G58,"Yes","No")))</f>
        <v>No</v>
      </c>
      <c r="K56" s="1" t="s">
        <v>243</v>
      </c>
      <c r="M56" s="113"/>
      <c r="N56" s="113"/>
      <c r="O56" s="143"/>
      <c r="P56" s="151"/>
    </row>
    <row r="57" spans="6:16">
      <c r="F57" s="1" t="s">
        <v>219</v>
      </c>
      <c r="G57" s="113" cm="1">
        <f t="array" ref="G57:H57">'Layout-Based Calculator'!AS13:AT13</f>
        <v>9</v>
      </c>
      <c r="H57" s="113">
        <v>0</v>
      </c>
      <c r="M57" s="113"/>
      <c r="N57" s="113"/>
      <c r="O57" s="104"/>
      <c r="P57" s="104"/>
    </row>
    <row r="58" spans="6:16">
      <c r="F58" s="1" t="s">
        <v>220</v>
      </c>
      <c r="G58" s="113" cm="1">
        <f t="array" ref="G58:H58">'Layout-Based Calculator'!BA13:BB13</f>
        <v>7</v>
      </c>
      <c r="H58" s="113">
        <v>0</v>
      </c>
      <c r="M58" s="113"/>
      <c r="N58" s="113"/>
      <c r="O58" s="104"/>
      <c r="P58" s="104"/>
    </row>
    <row r="59" spans="6:16">
      <c r="F59" s="104" t="s">
        <v>228</v>
      </c>
      <c r="G59" s="148" cm="1">
        <f t="array" ref="G59:H59">'Layout-Based Calculator'!AL13:AM13</f>
        <v>0</v>
      </c>
      <c r="H59" s="113">
        <v>0</v>
      </c>
      <c r="L59" s="104"/>
      <c r="M59" s="148"/>
      <c r="N59" s="113"/>
      <c r="O59" s="104"/>
      <c r="P59" s="104"/>
    </row>
    <row r="60" spans="6:16">
      <c r="F60" s="1" t="s">
        <v>229</v>
      </c>
      <c r="G60" s="122">
        <f>G59+G56</f>
        <v>2.3501016260162602</v>
      </c>
      <c r="H60" s="113"/>
      <c r="M60" s="122"/>
      <c r="N60" s="113"/>
      <c r="O60" s="104"/>
      <c r="P60" s="104"/>
    </row>
    <row r="61" spans="6:16">
      <c r="F61" s="1" t="s">
        <v>230</v>
      </c>
      <c r="G61" s="124">
        <f>G59+3.05</f>
        <v>3.05</v>
      </c>
      <c r="H61" s="113"/>
      <c r="M61" s="124"/>
      <c r="N61" s="113"/>
      <c r="O61" s="104"/>
      <c r="P61" s="104"/>
    </row>
    <row r="62" spans="6:16">
      <c r="F62" s="1" t="s">
        <v>133</v>
      </c>
      <c r="G62" s="149" t="str">
        <f>IF(G61&gt;=G57, "Yes","No")</f>
        <v>No</v>
      </c>
      <c r="H62" s="113"/>
      <c r="M62" s="149"/>
      <c r="N62" s="113"/>
      <c r="O62" s="104"/>
      <c r="P62" s="104"/>
    </row>
    <row r="63" spans="6:16">
      <c r="F63" s="1" t="s">
        <v>134</v>
      </c>
      <c r="G63" s="124" t="str">
        <f>IF(G60&lt;=G58, "Yes","No")</f>
        <v>Yes</v>
      </c>
      <c r="H63" s="113"/>
      <c r="M63" s="124"/>
      <c r="N63" s="113"/>
      <c r="O63" s="104"/>
      <c r="P63" s="104"/>
    </row>
    <row r="64" spans="6:16">
      <c r="F64" s="1" t="s">
        <v>231</v>
      </c>
      <c r="G64" s="124">
        <f>ROUND(G58-((G26+G27))/12/Q3,1)</f>
        <v>5.3</v>
      </c>
      <c r="M64" s="124"/>
      <c r="O64" s="104"/>
      <c r="P64" s="104"/>
    </row>
    <row r="65" spans="6:16">
      <c r="F65" s="1" t="s">
        <v>232</v>
      </c>
      <c r="G65" s="124">
        <f>ROUND(G57-((G26+G27))/12/Q3,1)</f>
        <v>7.3</v>
      </c>
      <c r="M65" s="124"/>
      <c r="O65" s="104"/>
      <c r="P65" s="104"/>
    </row>
    <row r="66" spans="6:16" ht="12.75">
      <c r="F66" s="14" t="s">
        <v>264</v>
      </c>
    </row>
    <row r="67" spans="6:16">
      <c r="F67" s="1" t="s">
        <v>261</v>
      </c>
      <c r="G67" s="182">
        <f>IF(A19=1,"",IF('LB Calcs'!A20&lt;=1,"",IF('LB Calcs'!A4=4,ROUNDUP(('LB Calcs'!G20+Tables!G29+'LB Calcs'!G35*2),0),IF('LB Calcs'!A4=3,ROUNDUP(('LB Calcs'!G20+Tables!G30+'LB Calcs'!G35*2),0),IF('LB Calcs'!A4=2,ROUNDUP(('LB Calcs'!G20+Tables!G31+'LB Calcs'!G35*2),0),ROUNDUP(('LB Calcs'!G20+Tables!G32+'LB Calcs'!G35*2),0))))))</f>
        <v>124</v>
      </c>
    </row>
    <row r="68" spans="6:16">
      <c r="F68" s="1" t="s">
        <v>266</v>
      </c>
      <c r="G68" s="107">
        <f>IF(A19=1,"",IF('LB Calcs'!A20&lt;=1,"",IF('LB Calcs'!A4=4,ROUNDUP(('LB Calcs'!G21+Tables!G29+'LB Calcs'!G35*2),0),IF('LB Calcs'!A4=3,ROUNDUP(('LB Calcs'!G21+Tables!G30+'LB Calcs'!G35*2),0),IF('LB Calcs'!A4=2,ROUNDUP(('LB Calcs'!G21+Tables!G31+'LB Calcs'!G35*2),0),ROUNDUP(('LB Calcs'!G21+Tables!G32+'LB Calcs'!G35*2),0))))))</f>
        <v>143</v>
      </c>
    </row>
    <row r="69" spans="6:16">
      <c r="F69" s="1" t="s">
        <v>265</v>
      </c>
      <c r="G69" s="107">
        <f>IF(A19=1,"",IF(A20&lt;=1,"",ROUNDUP(IF(A20=2,G68/Tables!D29,IF(A20=3,G68/Tables!D30,IF(A20=4,G68/Tables!D31,IF(A20=5,G68/Tables!D32,IF(A20=6,G68/Tables!D33))))),0)))</f>
        <v>21</v>
      </c>
    </row>
    <row r="70" spans="6:16">
      <c r="F70" s="1" t="s">
        <v>263</v>
      </c>
      <c r="G70" s="107">
        <f>IF(A19=1,"",IF(A20&lt;=1,"",IF(A20=2,G69*Tables!D29,IF(A20=3,G69*Tables!D30,IF(A20=4,G69*Tables!D31,IF(A20=5,G69*Tables!D32,IF(A20=6,G69*Tables!D33)))))))</f>
        <v>147</v>
      </c>
    </row>
    <row r="71" spans="6:16">
      <c r="F71" s="1" t="s">
        <v>267</v>
      </c>
      <c r="G71" s="107">
        <f>IF(A19=1,"",IF(A20&lt;=1,"",G67*G70))</f>
        <v>18228</v>
      </c>
    </row>
  </sheetData>
  <sheetProtection selectLockedCells="1"/>
  <phoneticPr fontId="30" type="noConversion"/>
  <dataValidations count="1">
    <dataValidation type="list" allowBlank="1" showInputMessage="1" showErrorMessage="1" sqref="C27" xr:uid="{377D9B75-980D-4ED7-9E77-5A9AF9451730}">
      <formula1>YesNo</formula1>
    </dataValidation>
  </dataValidations>
  <printOptions horizontalCentered="1" verticalCentered="1"/>
  <pageMargins left="0" right="0" top="0" bottom="0" header="0.3" footer="0.3"/>
  <pageSetup scale="58" orientation="landscape" horizontalDpi="300" verticalDpi="3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theme="0" tint="-0.499984740745262"/>
  </sheetPr>
  <dimension ref="A3:S24"/>
  <sheetViews>
    <sheetView workbookViewId="0">
      <selection activeCell="I23" sqref="I23"/>
    </sheetView>
  </sheetViews>
  <sheetFormatPr defaultColWidth="9.28515625" defaultRowHeight="11.25"/>
  <cols>
    <col min="1" max="18" width="9.28515625" style="1"/>
    <col min="19" max="19" width="10.42578125" style="1" customWidth="1"/>
    <col min="20" max="20" width="9.28515625" style="1"/>
    <col min="21" max="21" width="10.42578125" style="1" bestFit="1" customWidth="1"/>
    <col min="22" max="16384" width="9.28515625" style="1"/>
  </cols>
  <sheetData>
    <row r="3" spans="1:19">
      <c r="A3" s="1" t="s">
        <v>40</v>
      </c>
      <c r="E3" s="13"/>
      <c r="H3" s="1" t="s">
        <v>41</v>
      </c>
      <c r="N3" s="13"/>
      <c r="Q3" s="116" t="s">
        <v>42</v>
      </c>
      <c r="R3" s="18"/>
      <c r="S3" s="18">
        <v>2</v>
      </c>
    </row>
    <row r="4" spans="1:19">
      <c r="A4" s="1" t="s">
        <v>43</v>
      </c>
      <c r="E4" s="13"/>
      <c r="H4" s="1" t="s">
        <v>44</v>
      </c>
      <c r="N4" s="13"/>
      <c r="Q4" s="116" t="s">
        <v>22</v>
      </c>
      <c r="R4" s="18"/>
      <c r="S4" s="18">
        <v>1</v>
      </c>
    </row>
    <row r="5" spans="1:19">
      <c r="A5" s="1" t="s">
        <v>45</v>
      </c>
      <c r="E5" s="13"/>
      <c r="H5" s="1" t="s">
        <v>46</v>
      </c>
      <c r="N5" s="13"/>
    </row>
    <row r="6" spans="1:19">
      <c r="A6" s="1" t="s">
        <v>47</v>
      </c>
      <c r="E6" s="13"/>
      <c r="H6" s="1" t="s">
        <v>48</v>
      </c>
      <c r="N6" s="13"/>
    </row>
    <row r="7" spans="1:19">
      <c r="A7" s="1" t="s">
        <v>49</v>
      </c>
      <c r="E7" s="13"/>
      <c r="H7" s="1" t="s">
        <v>50</v>
      </c>
      <c r="N7" s="13"/>
    </row>
    <row r="8" spans="1:19">
      <c r="A8" s="1" t="s">
        <v>51</v>
      </c>
      <c r="E8" s="13"/>
      <c r="H8" s="1" t="s">
        <v>52</v>
      </c>
      <c r="N8" s="13"/>
    </row>
    <row r="9" spans="1:19">
      <c r="A9" s="1" t="s">
        <v>53</v>
      </c>
      <c r="E9" s="13"/>
      <c r="H9" s="1" t="s">
        <v>54</v>
      </c>
      <c r="N9" s="13"/>
    </row>
    <row r="10" spans="1:19">
      <c r="A10" s="1" t="s">
        <v>55</v>
      </c>
      <c r="E10" s="13"/>
      <c r="H10" s="1" t="s">
        <v>56</v>
      </c>
      <c r="N10" s="13"/>
      <c r="R10" s="1" t="s">
        <v>57</v>
      </c>
    </row>
    <row r="13" spans="1:19">
      <c r="H13" s="1" t="s">
        <v>58</v>
      </c>
      <c r="N13" s="13"/>
    </row>
    <row r="14" spans="1:19">
      <c r="H14" s="1" t="s">
        <v>59</v>
      </c>
      <c r="N14" s="13"/>
    </row>
    <row r="15" spans="1:19">
      <c r="H15" s="1" t="s">
        <v>60</v>
      </c>
      <c r="N15" s="13"/>
    </row>
    <row r="18" spans="1:5">
      <c r="A18" s="1" t="s">
        <v>61</v>
      </c>
      <c r="E18" s="13"/>
    </row>
    <row r="20" spans="1:5">
      <c r="A20" s="13"/>
      <c r="B20" s="1" t="s">
        <v>62</v>
      </c>
      <c r="C20" s="13"/>
      <c r="D20" s="1" t="s">
        <v>63</v>
      </c>
    </row>
    <row r="21" spans="1:5">
      <c r="A21" s="13"/>
      <c r="B21" s="1" t="s">
        <v>64</v>
      </c>
      <c r="C21" s="13"/>
      <c r="D21" s="1" t="s">
        <v>63</v>
      </c>
    </row>
    <row r="23" spans="1:5">
      <c r="A23" s="1" t="s">
        <v>61</v>
      </c>
      <c r="E23" s="13"/>
    </row>
    <row r="24" spans="1:5">
      <c r="A24" s="1" t="s">
        <v>65</v>
      </c>
      <c r="E24" s="13"/>
    </row>
  </sheetData>
  <dataValidations disablePrompts="1" count="1">
    <dataValidation type="list" allowBlank="1" showInputMessage="1" showErrorMessage="1" sqref="S6" xr:uid="{00000000-0002-0000-0500-000000000000}">
      <formula1>Unitconversion</formula1>
    </dataValidation>
  </dataValidation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Y33"/>
  <sheetViews>
    <sheetView zoomScaleNormal="100" workbookViewId="0">
      <selection activeCell="I23" sqref="I23"/>
    </sheetView>
  </sheetViews>
  <sheetFormatPr defaultColWidth="7.7109375" defaultRowHeight="11.25"/>
  <cols>
    <col min="1" max="3" width="7.7109375" style="15"/>
    <col min="4" max="4" width="8.28515625" style="15" customWidth="1"/>
    <col min="5" max="5" width="7.7109375" style="15"/>
    <col min="6" max="6" width="8.7109375" style="15" customWidth="1"/>
    <col min="7" max="10" width="7.7109375" style="15"/>
    <col min="11" max="11" width="10.7109375" style="15" bestFit="1" customWidth="1"/>
    <col min="12" max="12" width="12" style="15" customWidth="1"/>
    <col min="13" max="13" width="7.7109375" style="15"/>
    <col min="14" max="14" width="11.5703125" style="15" customWidth="1"/>
    <col min="15" max="18" width="7.7109375" style="15"/>
    <col min="19" max="19" width="10" style="15" customWidth="1"/>
    <col min="20" max="20" width="12.5703125" style="106" customWidth="1"/>
    <col min="21" max="21" width="13.140625" style="106" customWidth="1"/>
    <col min="22" max="22" width="9.5703125" style="106" customWidth="1"/>
    <col min="23" max="23" width="7.7109375" style="106"/>
    <col min="24" max="16384" width="7.7109375" style="1"/>
  </cols>
  <sheetData>
    <row r="1" spans="2:25" ht="23.25" customHeight="1">
      <c r="C1" s="15" t="s">
        <v>135</v>
      </c>
      <c r="T1" s="221" t="s">
        <v>252</v>
      </c>
      <c r="U1" s="221"/>
      <c r="V1" s="221"/>
      <c r="W1" s="221"/>
    </row>
    <row r="2" spans="2:25" ht="56.25">
      <c r="C2" s="19" t="s">
        <v>136</v>
      </c>
      <c r="D2" s="19" t="s">
        <v>137</v>
      </c>
      <c r="E2" s="19" t="s">
        <v>138</v>
      </c>
      <c r="F2" s="43" t="s">
        <v>139</v>
      </c>
      <c r="G2" s="19" t="s">
        <v>140</v>
      </c>
      <c r="H2" s="19" t="s">
        <v>141</v>
      </c>
      <c r="I2" s="19" t="s">
        <v>142</v>
      </c>
      <c r="J2" s="91" t="s">
        <v>192</v>
      </c>
      <c r="K2" s="19" t="s">
        <v>143</v>
      </c>
      <c r="L2" s="19" t="s">
        <v>193</v>
      </c>
      <c r="M2" s="19" t="s">
        <v>194</v>
      </c>
      <c r="N2" s="19" t="s">
        <v>144</v>
      </c>
      <c r="O2" s="19" t="s">
        <v>195</v>
      </c>
      <c r="P2" s="19" t="s">
        <v>196</v>
      </c>
      <c r="Q2" s="19" t="s">
        <v>145</v>
      </c>
      <c r="R2" s="19" t="s">
        <v>162</v>
      </c>
      <c r="S2" s="91" t="s">
        <v>191</v>
      </c>
      <c r="T2" s="105" t="s">
        <v>187</v>
      </c>
      <c r="U2" s="105" t="s">
        <v>188</v>
      </c>
      <c r="V2" s="105" t="s">
        <v>189</v>
      </c>
      <c r="W2" s="105" t="s">
        <v>190</v>
      </c>
    </row>
    <row r="3" spans="2:25">
      <c r="B3" s="15">
        <v>1</v>
      </c>
      <c r="C3" s="99">
        <v>12</v>
      </c>
      <c r="D3" s="92">
        <v>12.076499999999999</v>
      </c>
      <c r="E3" s="92">
        <v>14.616000000000001</v>
      </c>
      <c r="F3" s="95">
        <v>25.190799999999999</v>
      </c>
      <c r="G3" s="100">
        <v>0.8873833333333333</v>
      </c>
      <c r="H3" s="100">
        <v>0.66666666666666663</v>
      </c>
      <c r="I3" s="92">
        <v>4</v>
      </c>
      <c r="J3" s="92">
        <v>0.79476437395892852</v>
      </c>
      <c r="K3" s="92">
        <v>23.52</v>
      </c>
      <c r="L3" s="96">
        <f>J3*((R3+K3)/12)</f>
        <v>1.8584240277739612</v>
      </c>
      <c r="M3" s="96">
        <f>(((E3^2)*PI()/4)/144)*((K3+R3)/12)</f>
        <v>2.7245255100221986</v>
      </c>
      <c r="N3" s="92">
        <v>11.76</v>
      </c>
      <c r="O3" s="92">
        <f>J3*(N3*2/12)</f>
        <v>1.5577381729594999</v>
      </c>
      <c r="P3" s="97">
        <v>18.989999999999998</v>
      </c>
      <c r="Q3" s="94">
        <f>((E3^2)*PI()/4)/144</f>
        <v>1.1651570249560363</v>
      </c>
      <c r="R3" s="98">
        <f>4.54</f>
        <v>4.54</v>
      </c>
      <c r="S3" s="92">
        <v>1.0796201537103782</v>
      </c>
      <c r="T3" s="93">
        <v>7.46</v>
      </c>
      <c r="U3" s="93">
        <v>9.2799999999999994</v>
      </c>
      <c r="V3" s="93">
        <v>10.119999999999999</v>
      </c>
      <c r="W3" s="93">
        <v>11.62</v>
      </c>
      <c r="Y3" s="20">
        <f>T3+R3+E3</f>
        <v>26.616</v>
      </c>
    </row>
    <row r="4" spans="2:25">
      <c r="B4" s="15">
        <v>2</v>
      </c>
      <c r="C4" s="99">
        <v>15</v>
      </c>
      <c r="D4" s="92">
        <v>15.15</v>
      </c>
      <c r="E4" s="92">
        <v>17.79</v>
      </c>
      <c r="F4" s="95">
        <v>27.7136</v>
      </c>
      <c r="G4" s="100">
        <v>0.81824999999999992</v>
      </c>
      <c r="H4" s="100">
        <v>0.66666666666666663</v>
      </c>
      <c r="I4" s="92">
        <v>4</v>
      </c>
      <c r="J4" s="92">
        <v>1.2497635473103432</v>
      </c>
      <c r="K4" s="92">
        <v>28.71</v>
      </c>
      <c r="L4" s="92">
        <f t="shared" ref="L4:L10" si="0">J4*((R4+K4)/12)</f>
        <v>3.5670334579482712</v>
      </c>
      <c r="M4" s="92">
        <f>(((E4^2)*PI()/4)/144)*((K4+R4)/12)</f>
        <v>4.9267283320566726</v>
      </c>
      <c r="N4" s="92">
        <v>14.36</v>
      </c>
      <c r="O4" s="92">
        <f t="shared" ref="O4:O11" si="1">J4*(N4*2/12)</f>
        <v>2.9911007565627545</v>
      </c>
      <c r="P4" s="97">
        <v>23.17</v>
      </c>
      <c r="Q4" s="94">
        <f t="shared" ref="Q4:Q10" si="2">((E4^2)*PI()/4)/144</f>
        <v>1.7261529922534329</v>
      </c>
      <c r="R4" s="99">
        <f>5.54</f>
        <v>5.54</v>
      </c>
      <c r="S4" s="92">
        <v>1.6073477140742691</v>
      </c>
      <c r="T4" s="93">
        <v>0</v>
      </c>
      <c r="U4" s="93">
        <v>9.2799999999999994</v>
      </c>
      <c r="V4" s="93">
        <v>10.119999999999999</v>
      </c>
      <c r="W4" s="93">
        <v>11.62</v>
      </c>
    </row>
    <row r="5" spans="2:25">
      <c r="B5" s="15">
        <v>3</v>
      </c>
      <c r="C5" s="99">
        <v>18</v>
      </c>
      <c r="D5" s="92">
        <v>18.084499999999998</v>
      </c>
      <c r="E5" s="92">
        <v>21.363500000000002</v>
      </c>
      <c r="F5" s="95">
        <v>32.748199999999997</v>
      </c>
      <c r="G5" s="100">
        <v>0.9402083333333332</v>
      </c>
      <c r="H5" s="100">
        <v>0.75</v>
      </c>
      <c r="I5" s="92">
        <v>4</v>
      </c>
      <c r="J5" s="92">
        <v>1.7828105086178345</v>
      </c>
      <c r="K5" s="92">
        <v>35.35</v>
      </c>
      <c r="L5" s="92">
        <f t="shared" si="0"/>
        <v>6.2873783937255636</v>
      </c>
      <c r="M5" s="92">
        <f t="shared" ref="M5:M9" si="3">(((E5^2)*PI()/4)/144)*((K5+R5)/12)</f>
        <v>8.7788294578603914</v>
      </c>
      <c r="N5" s="92">
        <v>17.7</v>
      </c>
      <c r="O5" s="92">
        <f t="shared" si="1"/>
        <v>5.2592910004226114</v>
      </c>
      <c r="P5" s="97">
        <v>28.38</v>
      </c>
      <c r="Q5" s="94">
        <f t="shared" si="2"/>
        <v>2.4892711128148557</v>
      </c>
      <c r="R5" s="99">
        <f>6.97</f>
        <v>6.97</v>
      </c>
      <c r="S5" s="92">
        <v>2.3472077548213734</v>
      </c>
      <c r="T5" s="93">
        <v>0</v>
      </c>
      <c r="U5" s="93">
        <v>9.2799999999999994</v>
      </c>
      <c r="V5" s="93">
        <v>10.119999999999999</v>
      </c>
      <c r="W5" s="93">
        <v>11.62</v>
      </c>
    </row>
    <row r="6" spans="2:25">
      <c r="B6" s="15">
        <v>4</v>
      </c>
      <c r="C6" s="99">
        <v>24</v>
      </c>
      <c r="D6" s="92">
        <v>24.36</v>
      </c>
      <c r="E6" s="92">
        <v>28.145</v>
      </c>
      <c r="F6" s="95">
        <v>47.136000000000003</v>
      </c>
      <c r="G6" s="100">
        <v>1.5859833333333337</v>
      </c>
      <c r="H6" s="100">
        <v>0.83333333333333337</v>
      </c>
      <c r="I6" s="92">
        <v>4</v>
      </c>
      <c r="J6" s="92">
        <v>3.2267200013705724</v>
      </c>
      <c r="K6" s="92">
        <v>47.14</v>
      </c>
      <c r="L6" s="92">
        <f t="shared" si="0"/>
        <v>15.235496273138052</v>
      </c>
      <c r="M6" s="92">
        <f t="shared" si="3"/>
        <v>20.399767579017659</v>
      </c>
      <c r="N6" s="92">
        <v>23.6</v>
      </c>
      <c r="O6" s="92">
        <f t="shared" si="1"/>
        <v>12.691765338724252</v>
      </c>
      <c r="P6" s="97">
        <v>37.619999999999997</v>
      </c>
      <c r="Q6" s="94">
        <f t="shared" si="2"/>
        <v>4.3204590707414736</v>
      </c>
      <c r="R6" s="99">
        <f>9.52</f>
        <v>9.52</v>
      </c>
      <c r="S6" s="92">
        <v>4.0879963224928302</v>
      </c>
      <c r="T6" s="93">
        <v>0</v>
      </c>
      <c r="U6" s="93">
        <v>9.2799999999999994</v>
      </c>
      <c r="V6" s="93">
        <v>10.119999999999999</v>
      </c>
      <c r="W6" s="93">
        <v>11.62</v>
      </c>
    </row>
    <row r="7" spans="2:25">
      <c r="B7" s="15">
        <v>5</v>
      </c>
      <c r="C7" s="99">
        <v>30</v>
      </c>
      <c r="D7" s="92">
        <v>29.872</v>
      </c>
      <c r="E7" s="92">
        <v>34.674999999999997</v>
      </c>
      <c r="F7" s="95">
        <v>54.991999999999997</v>
      </c>
      <c r="G7" s="100">
        <v>1.6978083333333334</v>
      </c>
      <c r="H7" s="100">
        <v>1.5</v>
      </c>
      <c r="I7" s="92">
        <v>4</v>
      </c>
      <c r="J7" s="92">
        <v>4.8668701106731476</v>
      </c>
      <c r="K7" s="94">
        <v>54.99</v>
      </c>
      <c r="L7" s="92">
        <f t="shared" si="0"/>
        <v>26.435216151139652</v>
      </c>
      <c r="M7" s="92">
        <f t="shared" si="3"/>
        <v>35.619960936108811</v>
      </c>
      <c r="N7" s="94">
        <v>27.5</v>
      </c>
      <c r="O7" s="92">
        <f t="shared" si="1"/>
        <v>22.306488007251925</v>
      </c>
      <c r="P7" s="97">
        <v>44.81</v>
      </c>
      <c r="Q7" s="94">
        <f t="shared" si="2"/>
        <v>6.5578326362888255</v>
      </c>
      <c r="R7" s="93">
        <f>10.19</f>
        <v>10.19</v>
      </c>
      <c r="S7" s="92">
        <v>6.2147495195340881</v>
      </c>
      <c r="T7" s="93">
        <v>0</v>
      </c>
      <c r="U7" s="93"/>
      <c r="V7" s="93">
        <v>10.119999999999999</v>
      </c>
      <c r="W7" s="93"/>
    </row>
    <row r="8" spans="2:25">
      <c r="B8" s="15">
        <v>6</v>
      </c>
      <c r="C8" s="99">
        <v>36</v>
      </c>
      <c r="D8" s="92">
        <v>35.46</v>
      </c>
      <c r="E8" s="92">
        <v>40.5</v>
      </c>
      <c r="F8" s="95">
        <v>61.463999999999999</v>
      </c>
      <c r="G8" s="100">
        <v>1.7321749999999998</v>
      </c>
      <c r="H8" s="100">
        <v>1.5</v>
      </c>
      <c r="I8" s="92">
        <v>4</v>
      </c>
      <c r="J8" s="92">
        <v>6.8409813640721708</v>
      </c>
      <c r="K8" s="94">
        <v>61.31</v>
      </c>
      <c r="L8" s="92">
        <f t="shared" si="0"/>
        <v>40.817855472297282</v>
      </c>
      <c r="M8" s="92">
        <f t="shared" si="3"/>
        <v>53.378849864529386</v>
      </c>
      <c r="N8" s="94">
        <v>30.7</v>
      </c>
      <c r="O8" s="92">
        <f t="shared" si="1"/>
        <v>35.003021312835941</v>
      </c>
      <c r="P8" s="97">
        <v>13.5</v>
      </c>
      <c r="Q8" s="94">
        <f t="shared" si="2"/>
        <v>8.9461759549490605</v>
      </c>
      <c r="R8" s="94">
        <f>10.29</f>
        <v>10.29</v>
      </c>
      <c r="S8" s="92">
        <v>8.5318927428027216</v>
      </c>
      <c r="T8" s="93">
        <v>0</v>
      </c>
      <c r="U8" s="93"/>
      <c r="V8" s="93"/>
      <c r="W8" s="93"/>
    </row>
    <row r="9" spans="2:25">
      <c r="B9" s="15">
        <v>7</v>
      </c>
      <c r="C9" s="99">
        <v>0</v>
      </c>
      <c r="D9" s="92">
        <v>0</v>
      </c>
      <c r="E9" s="92">
        <v>0</v>
      </c>
      <c r="F9" s="95">
        <v>0</v>
      </c>
      <c r="G9" s="100">
        <v>0</v>
      </c>
      <c r="H9" s="100">
        <v>0</v>
      </c>
      <c r="I9" s="92">
        <v>0</v>
      </c>
      <c r="J9" s="92">
        <f t="shared" ref="J9" si="4">(((D9/2)^2)*PI())/144</f>
        <v>0</v>
      </c>
      <c r="K9" s="94">
        <v>0</v>
      </c>
      <c r="L9" s="92">
        <f t="shared" si="0"/>
        <v>0</v>
      </c>
      <c r="M9" s="92">
        <f t="shared" si="3"/>
        <v>0</v>
      </c>
      <c r="N9" s="94">
        <v>0</v>
      </c>
      <c r="O9" s="92">
        <f t="shared" si="1"/>
        <v>0</v>
      </c>
      <c r="P9" s="92">
        <v>0</v>
      </c>
      <c r="Q9" s="94">
        <v>0</v>
      </c>
      <c r="R9" s="93">
        <v>0</v>
      </c>
      <c r="S9" s="92">
        <f t="shared" ref="S9" si="5">((E9^2)*PI()/4)/144</f>
        <v>0</v>
      </c>
      <c r="T9" s="93">
        <v>0</v>
      </c>
      <c r="U9" s="93"/>
      <c r="V9" s="93"/>
      <c r="W9" s="93"/>
    </row>
    <row r="10" spans="2:25">
      <c r="B10" s="15">
        <v>8</v>
      </c>
      <c r="C10" s="99">
        <v>8</v>
      </c>
      <c r="D10" s="92">
        <v>7.9675000000000002</v>
      </c>
      <c r="E10" s="92">
        <v>9.6199999999999992</v>
      </c>
      <c r="F10" s="95"/>
      <c r="G10" s="100"/>
      <c r="H10" s="100"/>
      <c r="I10" s="92">
        <v>4</v>
      </c>
      <c r="J10" s="92">
        <v>0.36699999999999999</v>
      </c>
      <c r="K10" s="92">
        <v>19.600000000000001</v>
      </c>
      <c r="L10" s="92">
        <f t="shared" si="0"/>
        <v>0.75204416666666674</v>
      </c>
      <c r="M10" s="92">
        <f>(((E10^2)*PI()/4)/144)*((K10+R10)/12)</f>
        <v>1.0343197465757843</v>
      </c>
      <c r="N10" s="92">
        <v>9.8000000000000007</v>
      </c>
      <c r="O10" s="92">
        <f t="shared" si="1"/>
        <v>0.59943333333333337</v>
      </c>
      <c r="P10" s="92">
        <v>14.61</v>
      </c>
      <c r="Q10" s="94">
        <f t="shared" si="2"/>
        <v>0.50475140133832497</v>
      </c>
      <c r="R10" s="99">
        <v>4.99</v>
      </c>
      <c r="S10" s="92">
        <v>0.46</v>
      </c>
      <c r="T10" s="93">
        <v>7.01</v>
      </c>
      <c r="U10" s="93"/>
      <c r="V10" s="93"/>
      <c r="W10" s="93"/>
    </row>
    <row r="11" spans="2:25">
      <c r="B11" s="15">
        <v>9</v>
      </c>
      <c r="C11" s="99">
        <v>10</v>
      </c>
      <c r="D11" s="92">
        <v>10.15</v>
      </c>
      <c r="E11" s="92">
        <v>11.87</v>
      </c>
      <c r="F11" s="95">
        <v>94.2</v>
      </c>
      <c r="G11" s="100">
        <v>2.28125</v>
      </c>
      <c r="H11" s="100">
        <v>1.5</v>
      </c>
      <c r="I11" s="92">
        <v>4</v>
      </c>
      <c r="J11" s="92">
        <v>0.56699999999999995</v>
      </c>
      <c r="K11" s="92">
        <v>26.13</v>
      </c>
      <c r="L11" s="92">
        <f>J11*((R11+K11)/12)</f>
        <v>1.5720074999999996</v>
      </c>
      <c r="M11" s="92">
        <f>(((E11^2)*PI()/4)/144)*((K11+R11)/12)</f>
        <v>2.1305924415907782</v>
      </c>
      <c r="N11" s="92">
        <v>13.07</v>
      </c>
      <c r="O11" s="92">
        <f t="shared" si="1"/>
        <v>1.2351149999999997</v>
      </c>
      <c r="P11" s="92">
        <v>18.989999999999998</v>
      </c>
      <c r="Q11" s="94">
        <f>((E11^2)*PI()/4)/144</f>
        <v>0.76847337839162444</v>
      </c>
      <c r="R11" s="99">
        <v>7.14</v>
      </c>
      <c r="S11" s="92">
        <v>0.70799999999999996</v>
      </c>
      <c r="T11" s="93">
        <v>4.8600000000000003</v>
      </c>
      <c r="U11" s="93"/>
      <c r="V11" s="93"/>
      <c r="W11" s="93"/>
    </row>
    <row r="12" spans="2:25">
      <c r="B12" s="15">
        <v>10</v>
      </c>
      <c r="C12" s="1">
        <v>1</v>
      </c>
      <c r="D12" s="1">
        <v>2</v>
      </c>
      <c r="E12" s="1">
        <v>3</v>
      </c>
      <c r="F12" s="1">
        <v>4</v>
      </c>
      <c r="G12" s="1">
        <v>5</v>
      </c>
      <c r="H12" s="1">
        <v>6</v>
      </c>
      <c r="I12" s="1">
        <v>7</v>
      </c>
      <c r="J12" s="1">
        <v>8</v>
      </c>
      <c r="K12" s="1">
        <v>9</v>
      </c>
      <c r="L12" s="1">
        <v>10</v>
      </c>
      <c r="M12" s="1">
        <v>11</v>
      </c>
      <c r="N12" s="1">
        <v>12</v>
      </c>
      <c r="O12" s="1">
        <v>13</v>
      </c>
      <c r="P12" s="1">
        <v>14</v>
      </c>
      <c r="Q12" s="1">
        <v>15</v>
      </c>
      <c r="R12" s="1">
        <v>16</v>
      </c>
      <c r="S12" s="1">
        <v>17</v>
      </c>
      <c r="T12" s="107">
        <v>18</v>
      </c>
      <c r="U12" s="107">
        <v>19</v>
      </c>
      <c r="V12" s="107">
        <v>20</v>
      </c>
      <c r="W12" s="107">
        <v>21</v>
      </c>
    </row>
    <row r="13" spans="2:25">
      <c r="B13" s="15">
        <v>11</v>
      </c>
      <c r="C13" s="15" t="s">
        <v>146</v>
      </c>
    </row>
    <row r="14" spans="2:25" ht="56.25">
      <c r="C14" s="19" t="s">
        <v>40</v>
      </c>
      <c r="D14" s="19" t="s">
        <v>147</v>
      </c>
      <c r="E14" s="19" t="s">
        <v>148</v>
      </c>
      <c r="F14" s="19" t="s">
        <v>149</v>
      </c>
      <c r="G14" s="19" t="s">
        <v>150</v>
      </c>
      <c r="H14" s="19" t="s">
        <v>151</v>
      </c>
      <c r="I14" s="19" t="s">
        <v>197</v>
      </c>
      <c r="J14" s="19" t="s">
        <v>198</v>
      </c>
      <c r="K14" s="19" t="s">
        <v>142</v>
      </c>
      <c r="L14" s="19" t="s">
        <v>152</v>
      </c>
      <c r="M14" s="19" t="s">
        <v>153</v>
      </c>
      <c r="N14" s="19" t="s">
        <v>185</v>
      </c>
      <c r="O14" s="19" t="s">
        <v>154</v>
      </c>
      <c r="P14" s="19" t="s">
        <v>155</v>
      </c>
      <c r="Q14" s="19" t="s">
        <v>156</v>
      </c>
      <c r="R14" s="19" t="s">
        <v>185</v>
      </c>
      <c r="S14" s="19" t="s">
        <v>273</v>
      </c>
    </row>
    <row r="15" spans="2:25">
      <c r="C15" s="13" t="s">
        <v>184</v>
      </c>
      <c r="D15" s="101">
        <v>16</v>
      </c>
      <c r="E15" s="101">
        <v>34</v>
      </c>
      <c r="F15" s="101">
        <v>85.5</v>
      </c>
      <c r="G15" s="101">
        <v>39.9</v>
      </c>
      <c r="H15" s="101">
        <v>3</v>
      </c>
      <c r="I15" s="101">
        <v>12</v>
      </c>
      <c r="J15" s="101">
        <v>12</v>
      </c>
      <c r="K15" s="101">
        <v>6</v>
      </c>
      <c r="L15" s="101">
        <v>6</v>
      </c>
      <c r="M15" s="101">
        <v>16</v>
      </c>
      <c r="N15" s="101">
        <f>4+(2/12)</f>
        <v>4.166666666666667</v>
      </c>
      <c r="O15" s="101">
        <v>15.14</v>
      </c>
      <c r="P15" s="101">
        <v>6.88</v>
      </c>
      <c r="Q15" s="101">
        <v>0.62</v>
      </c>
      <c r="R15" s="102">
        <v>4.1660000000000004</v>
      </c>
      <c r="S15" s="19">
        <v>8</v>
      </c>
    </row>
    <row r="16" spans="2:25">
      <c r="C16" s="13" t="s">
        <v>74</v>
      </c>
      <c r="D16" s="101">
        <v>29.73</v>
      </c>
      <c r="E16" s="101">
        <v>51</v>
      </c>
      <c r="F16" s="101">
        <v>84.9</v>
      </c>
      <c r="G16" s="101">
        <f>E16+H16</f>
        <v>57</v>
      </c>
      <c r="H16" s="101">
        <v>6</v>
      </c>
      <c r="I16" s="101">
        <v>12</v>
      </c>
      <c r="J16" s="101">
        <v>12</v>
      </c>
      <c r="K16" s="101">
        <v>6</v>
      </c>
      <c r="L16" s="101">
        <v>6</v>
      </c>
      <c r="M16" s="101">
        <v>18</v>
      </c>
      <c r="N16" s="101">
        <v>5</v>
      </c>
      <c r="O16" s="101">
        <v>46.6</v>
      </c>
      <c r="P16" s="101">
        <v>10.44</v>
      </c>
      <c r="Q16" s="101">
        <v>3.4</v>
      </c>
      <c r="R16" s="102">
        <v>5</v>
      </c>
      <c r="S16" s="19">
        <v>8</v>
      </c>
    </row>
    <row r="17" spans="1:19">
      <c r="B17" s="15">
        <v>1</v>
      </c>
      <c r="C17" s="13" t="s">
        <v>80</v>
      </c>
      <c r="D17" s="101">
        <v>45.48</v>
      </c>
      <c r="E17" s="101">
        <v>77.8</v>
      </c>
      <c r="F17" s="101">
        <v>85.3</v>
      </c>
      <c r="G17" s="103">
        <f>E17+H17</f>
        <v>82.8</v>
      </c>
      <c r="H17" s="101">
        <v>5</v>
      </c>
      <c r="I17" s="101">
        <v>12</v>
      </c>
      <c r="J17" s="101">
        <v>12</v>
      </c>
      <c r="K17" s="101">
        <v>9</v>
      </c>
      <c r="L17" s="101">
        <v>12</v>
      </c>
      <c r="M17" s="101">
        <v>18</v>
      </c>
      <c r="N17" s="101">
        <v>7.5</v>
      </c>
      <c r="O17" s="101">
        <v>113.57</v>
      </c>
      <c r="P17" s="101">
        <v>22.1</v>
      </c>
      <c r="Q17" s="101">
        <v>15.33</v>
      </c>
      <c r="R17" s="102">
        <v>7.5</v>
      </c>
      <c r="S17" s="19">
        <v>8</v>
      </c>
    </row>
    <row r="18" spans="1:19">
      <c r="B18" s="15">
        <v>2</v>
      </c>
      <c r="C18" s="13" t="s">
        <v>186</v>
      </c>
      <c r="D18" s="164">
        <f>80.5-12-9</f>
        <v>59.5</v>
      </c>
      <c r="E18" s="101">
        <v>100.5</v>
      </c>
      <c r="F18" s="101">
        <v>48.3</v>
      </c>
      <c r="G18" s="101">
        <v>109</v>
      </c>
      <c r="H18" s="164">
        <v>8.5</v>
      </c>
      <c r="I18" s="101">
        <v>12</v>
      </c>
      <c r="J18" s="164">
        <v>12</v>
      </c>
      <c r="K18" s="101">
        <v>9</v>
      </c>
      <c r="L18" s="101">
        <v>12</v>
      </c>
      <c r="M18" s="101">
        <v>24</v>
      </c>
      <c r="N18" s="101">
        <v>9.75</v>
      </c>
      <c r="O18" s="101">
        <v>109.67</v>
      </c>
      <c r="P18" s="101">
        <v>32.360700000000001</v>
      </c>
      <c r="Q18" s="101">
        <v>39.6</v>
      </c>
      <c r="R18" s="102">
        <v>9.75</v>
      </c>
      <c r="S18" s="19">
        <v>7</v>
      </c>
    </row>
    <row r="19" spans="1:19">
      <c r="B19" s="15">
        <v>3</v>
      </c>
      <c r="C19" s="1">
        <v>1</v>
      </c>
      <c r="D19" s="1">
        <v>2</v>
      </c>
      <c r="E19" s="1">
        <v>3</v>
      </c>
      <c r="F19" s="1">
        <v>4</v>
      </c>
      <c r="G19" s="1">
        <v>5</v>
      </c>
      <c r="H19" s="1">
        <v>6</v>
      </c>
      <c r="I19" s="1">
        <v>7</v>
      </c>
      <c r="J19" s="1">
        <v>8</v>
      </c>
      <c r="K19" s="1">
        <v>9</v>
      </c>
      <c r="L19" s="1">
        <v>10</v>
      </c>
      <c r="M19" s="1">
        <v>11</v>
      </c>
      <c r="N19" s="1">
        <v>12</v>
      </c>
      <c r="O19" s="1">
        <v>13</v>
      </c>
      <c r="P19" s="1">
        <v>14</v>
      </c>
      <c r="Q19" s="1">
        <v>15</v>
      </c>
      <c r="R19" s="1"/>
    </row>
    <row r="20" spans="1:19">
      <c r="B20" s="15">
        <v>4</v>
      </c>
    </row>
    <row r="21" spans="1:19">
      <c r="D21" s="173" t="s">
        <v>251</v>
      </c>
    </row>
    <row r="24" spans="1:19">
      <c r="A24" s="15">
        <v>3</v>
      </c>
    </row>
    <row r="25" spans="1:19" ht="78.75">
      <c r="A25" s="15" t="s">
        <v>159</v>
      </c>
      <c r="B25" s="15" t="s">
        <v>157</v>
      </c>
    </row>
    <row r="26" spans="1:19" ht="45">
      <c r="B26" s="15" t="s">
        <v>158</v>
      </c>
    </row>
    <row r="27" spans="1:19" ht="67.5">
      <c r="B27" s="15" t="s">
        <v>160</v>
      </c>
    </row>
    <row r="28" spans="1:19" ht="22.5">
      <c r="C28" s="19" t="s">
        <v>254</v>
      </c>
      <c r="D28" s="19" t="s">
        <v>255</v>
      </c>
      <c r="F28" s="19" t="s">
        <v>146</v>
      </c>
      <c r="G28" s="19" t="s">
        <v>260</v>
      </c>
    </row>
    <row r="29" spans="1:19">
      <c r="C29" s="19">
        <v>10</v>
      </c>
      <c r="D29" s="19">
        <v>7</v>
      </c>
      <c r="F29" s="19" t="s">
        <v>184</v>
      </c>
      <c r="G29" s="19">
        <v>8</v>
      </c>
    </row>
    <row r="30" spans="1:19">
      <c r="C30" s="19">
        <v>20</v>
      </c>
      <c r="D30" s="19">
        <v>7</v>
      </c>
      <c r="F30" s="19" t="s">
        <v>74</v>
      </c>
      <c r="G30" s="19">
        <v>13</v>
      </c>
    </row>
    <row r="31" spans="1:19">
      <c r="C31" s="19">
        <v>30</v>
      </c>
      <c r="D31" s="19">
        <v>7</v>
      </c>
      <c r="F31" s="19" t="s">
        <v>80</v>
      </c>
      <c r="G31" s="19">
        <v>16</v>
      </c>
    </row>
    <row r="32" spans="1:19">
      <c r="C32" s="19">
        <v>40</v>
      </c>
      <c r="D32" s="19">
        <v>7</v>
      </c>
      <c r="F32" s="19" t="s">
        <v>186</v>
      </c>
      <c r="G32" s="19">
        <v>19</v>
      </c>
    </row>
    <row r="33" spans="3:4">
      <c r="C33" s="19">
        <v>60</v>
      </c>
      <c r="D33" s="19">
        <v>5</v>
      </c>
    </row>
  </sheetData>
  <mergeCells count="1">
    <mergeCell ref="T1:W1"/>
  </mergeCells>
  <printOptions horizontalCentered="1" verticalCentered="1"/>
  <pageMargins left="0" right="0" top="0.5" bottom="0" header="0" footer="0"/>
  <pageSetup scale="66" orientation="landscape" horizontalDpi="300" verticalDpi="300" r:id="rId1"/>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J27"/>
  <sheetViews>
    <sheetView workbookViewId="0">
      <selection activeCell="I23" sqref="I23"/>
    </sheetView>
  </sheetViews>
  <sheetFormatPr defaultColWidth="7.7109375" defaultRowHeight="211.5" customHeight="1"/>
  <cols>
    <col min="1" max="1" width="7.7109375" style="1"/>
    <col min="2" max="2" width="74" style="1" customWidth="1"/>
    <col min="3" max="3" width="7.7109375" style="1"/>
    <col min="4" max="4" width="74" style="1" customWidth="1"/>
    <col min="5" max="6" width="7.7109375" style="1"/>
    <col min="7" max="7" width="73.7109375" style="1" customWidth="1"/>
    <col min="8" max="8" width="7.7109375" style="1"/>
    <col min="9" max="9" width="13.42578125" style="1" bestFit="1" customWidth="1"/>
    <col min="10" max="16384" width="7.7109375" style="1"/>
  </cols>
  <sheetData>
    <row r="1" spans="1:10" ht="269.25" customHeight="1">
      <c r="A1" s="21"/>
      <c r="B1" s="21"/>
      <c r="C1" s="21"/>
      <c r="D1" s="21"/>
      <c r="E1" s="21"/>
      <c r="I1" s="22" t="str">
        <f>IF('LB Calcs'!$C$6=1,"ONEMANIFOLD","TWOMANIFOLDS")</f>
        <v>ONEMANIFOLD</v>
      </c>
      <c r="J1" s="1" t="str">
        <f>IF('LB Calcs'!$C$6=1,"ONEMANIFOLD","TWOMANIFOLDS")</f>
        <v>ONEMANIFOLD</v>
      </c>
    </row>
    <row r="2" spans="1:10" ht="270.75" customHeight="1">
      <c r="A2" s="21"/>
      <c r="B2" s="21"/>
      <c r="C2" s="21"/>
      <c r="D2" s="21"/>
      <c r="E2" s="21"/>
    </row>
    <row r="3" spans="1:10" ht="263.25" customHeight="1">
      <c r="A3" s="21"/>
      <c r="B3" s="21"/>
      <c r="C3" s="21"/>
      <c r="D3" s="21"/>
      <c r="E3" s="21"/>
    </row>
    <row r="4" spans="1:10" ht="263.25" customHeight="1">
      <c r="A4" s="21"/>
      <c r="B4" s="21"/>
      <c r="C4" s="21"/>
      <c r="D4" s="21"/>
      <c r="E4" s="21"/>
    </row>
    <row r="5" spans="1:10" ht="262.5" customHeight="1">
      <c r="A5" s="21"/>
      <c r="B5" s="21"/>
      <c r="C5" s="21"/>
      <c r="D5" s="21"/>
      <c r="E5" s="21"/>
    </row>
    <row r="6" spans="1:10" ht="227.25" customHeight="1">
      <c r="A6" s="21"/>
      <c r="B6" s="21"/>
      <c r="C6" s="21"/>
      <c r="D6" s="21"/>
      <c r="E6" s="21"/>
      <c r="G6" s="23"/>
      <c r="H6" s="24"/>
      <c r="I6" s="25"/>
    </row>
    <row r="7" spans="1:10" ht="227.25" customHeight="1">
      <c r="A7" s="21"/>
      <c r="B7" s="21"/>
      <c r="C7" s="21"/>
      <c r="D7" s="21"/>
      <c r="E7" s="21"/>
      <c r="G7" s="26"/>
      <c r="H7" s="27"/>
      <c r="I7" s="28"/>
    </row>
    <row r="8" spans="1:10" ht="227.25" customHeight="1">
      <c r="A8" s="21"/>
      <c r="B8" s="21"/>
      <c r="C8" s="21"/>
      <c r="D8" s="21"/>
      <c r="E8" s="21"/>
    </row>
    <row r="9" spans="1:10" ht="227.25" customHeight="1">
      <c r="A9" s="21"/>
      <c r="B9" s="21"/>
      <c r="C9" s="21"/>
      <c r="D9" s="21"/>
      <c r="E9" s="21"/>
    </row>
    <row r="10" spans="1:10" ht="16.5" customHeight="1">
      <c r="A10" s="21"/>
      <c r="B10" s="21"/>
      <c r="C10" s="21"/>
      <c r="D10" s="21"/>
      <c r="E10" s="21"/>
    </row>
    <row r="11" spans="1:10" ht="16.5" customHeight="1">
      <c r="A11" s="21"/>
      <c r="B11" s="21"/>
      <c r="C11" s="21"/>
      <c r="D11" s="21"/>
      <c r="E11" s="21"/>
    </row>
    <row r="12" spans="1:10" ht="16.5" customHeight="1"/>
    <row r="13" spans="1:10" ht="16.5" customHeight="1"/>
    <row r="14" spans="1:10" ht="16.5" customHeight="1"/>
    <row r="15" spans="1:10" ht="16.5" customHeight="1"/>
    <row r="16" spans="1:10"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sheetData>
  <pageMargins left="0.7" right="0.7" top="0.75" bottom="0.75" header="0.3" footer="0.3"/>
  <pageSetup orientation="portrait"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0B239-6A86-4E7B-8888-3A57D619992F}">
  <sheetPr codeName="Sheet6"/>
  <dimension ref="C2:F23"/>
  <sheetViews>
    <sheetView showGridLines="0" topLeftCell="A17" workbookViewId="0">
      <selection activeCell="I23" sqref="I23"/>
    </sheetView>
  </sheetViews>
  <sheetFormatPr defaultRowHeight="15"/>
  <cols>
    <col min="3" max="3" width="9.140625" style="44"/>
    <col min="4" max="4" width="10.7109375" style="40" bestFit="1" customWidth="1"/>
    <col min="5" max="5" width="60.5703125" style="44" customWidth="1"/>
    <col min="6" max="6" width="14.7109375" style="40" customWidth="1"/>
  </cols>
  <sheetData>
    <row r="2" spans="3:6">
      <c r="C2" s="171" t="s">
        <v>168</v>
      </c>
      <c r="D2" s="172" t="s">
        <v>164</v>
      </c>
      <c r="E2" s="171" t="s">
        <v>165</v>
      </c>
      <c r="F2" s="172" t="s">
        <v>166</v>
      </c>
    </row>
    <row r="3" spans="3:6" ht="30">
      <c r="C3" s="168">
        <v>4.3</v>
      </c>
      <c r="D3" s="169">
        <v>43787</v>
      </c>
      <c r="E3" s="168" t="s">
        <v>163</v>
      </c>
      <c r="F3" s="170" t="s">
        <v>167</v>
      </c>
    </row>
    <row r="4" spans="3:6" ht="30">
      <c r="C4" s="168">
        <v>4.4000000000000004</v>
      </c>
      <c r="D4" s="169">
        <v>43798</v>
      </c>
      <c r="E4" s="168" t="s">
        <v>169</v>
      </c>
      <c r="F4" s="170" t="s">
        <v>167</v>
      </c>
    </row>
    <row r="5" spans="3:6">
      <c r="C5" s="168"/>
      <c r="D5" s="170"/>
      <c r="E5" s="168" t="s">
        <v>170</v>
      </c>
      <c r="F5" s="170"/>
    </row>
    <row r="6" spans="3:6">
      <c r="C6" s="168"/>
      <c r="D6" s="170"/>
      <c r="E6" s="168" t="s">
        <v>171</v>
      </c>
      <c r="F6" s="170"/>
    </row>
    <row r="7" spans="3:6">
      <c r="C7" s="168">
        <v>4.5</v>
      </c>
      <c r="D7" s="170"/>
      <c r="E7" s="168" t="s">
        <v>172</v>
      </c>
      <c r="F7" s="170" t="s">
        <v>167</v>
      </c>
    </row>
    <row r="8" spans="3:6">
      <c r="C8" s="168">
        <v>4.5999999999999996</v>
      </c>
      <c r="D8" s="169">
        <v>43908</v>
      </c>
      <c r="E8" s="168" t="s">
        <v>173</v>
      </c>
      <c r="F8" s="170" t="s">
        <v>167</v>
      </c>
    </row>
    <row r="9" spans="3:6">
      <c r="C9" s="168"/>
      <c r="D9" s="170"/>
      <c r="E9" s="168" t="s">
        <v>174</v>
      </c>
      <c r="F9" s="170"/>
    </row>
    <row r="10" spans="3:6">
      <c r="C10" s="168"/>
      <c r="D10" s="170"/>
      <c r="E10" s="168" t="s">
        <v>175</v>
      </c>
      <c r="F10" s="170"/>
    </row>
    <row r="11" spans="3:6">
      <c r="C11" s="168"/>
      <c r="D11" s="170"/>
      <c r="E11" s="168" t="s">
        <v>176</v>
      </c>
      <c r="F11" s="170"/>
    </row>
    <row r="12" spans="3:6">
      <c r="C12" s="168"/>
      <c r="D12" s="170"/>
      <c r="E12" s="168" t="s">
        <v>177</v>
      </c>
      <c r="F12" s="170"/>
    </row>
    <row r="13" spans="3:6">
      <c r="C13" s="168"/>
      <c r="D13" s="170"/>
      <c r="E13" s="168" t="s">
        <v>178</v>
      </c>
      <c r="F13" s="170"/>
    </row>
    <row r="14" spans="3:6">
      <c r="C14" s="168">
        <v>4.7</v>
      </c>
      <c r="D14" s="169">
        <v>43913</v>
      </c>
      <c r="E14" s="168" t="s">
        <v>179</v>
      </c>
      <c r="F14" s="170"/>
    </row>
    <row r="15" spans="3:6" ht="30">
      <c r="C15" s="168">
        <v>5.0999999999999996</v>
      </c>
      <c r="D15" s="169">
        <v>44091</v>
      </c>
      <c r="E15" s="168" t="s">
        <v>233</v>
      </c>
      <c r="F15" s="170"/>
    </row>
    <row r="16" spans="3:6">
      <c r="C16" s="168"/>
      <c r="D16" s="170"/>
      <c r="E16" s="168" t="s">
        <v>234</v>
      </c>
      <c r="F16" s="170" t="s">
        <v>167</v>
      </c>
    </row>
    <row r="17" spans="3:6" ht="30">
      <c r="C17" s="168">
        <v>5.2</v>
      </c>
      <c r="D17" s="169">
        <v>44095</v>
      </c>
      <c r="E17" s="168" t="s">
        <v>235</v>
      </c>
      <c r="F17" s="170" t="s">
        <v>236</v>
      </c>
    </row>
    <row r="18" spans="3:6">
      <c r="C18" s="168">
        <v>5.3</v>
      </c>
      <c r="D18" s="169">
        <v>44105</v>
      </c>
      <c r="E18" s="168" t="s">
        <v>237</v>
      </c>
      <c r="F18" s="170" t="s">
        <v>167</v>
      </c>
    </row>
    <row r="19" spans="3:6">
      <c r="C19" s="168">
        <v>5.4</v>
      </c>
      <c r="D19" s="169">
        <v>44116</v>
      </c>
      <c r="E19" s="168" t="s">
        <v>238</v>
      </c>
      <c r="F19" s="170" t="s">
        <v>167</v>
      </c>
    </row>
    <row r="20" spans="3:6">
      <c r="C20" s="168">
        <v>5.8</v>
      </c>
      <c r="D20" s="169">
        <v>44235</v>
      </c>
      <c r="E20" s="168" t="s">
        <v>246</v>
      </c>
      <c r="F20" s="170" t="s">
        <v>167</v>
      </c>
    </row>
    <row r="21" spans="3:6" ht="30">
      <c r="C21" s="168">
        <v>5.9</v>
      </c>
      <c r="D21" s="169">
        <v>44469</v>
      </c>
      <c r="E21" s="168" t="s">
        <v>248</v>
      </c>
      <c r="F21" s="170" t="s">
        <v>167</v>
      </c>
    </row>
    <row r="22" spans="3:6" ht="210">
      <c r="C22" s="168">
        <v>6.2</v>
      </c>
      <c r="D22" s="169">
        <v>44756</v>
      </c>
      <c r="E22" s="168" t="s">
        <v>250</v>
      </c>
      <c r="F22" s="170" t="s">
        <v>249</v>
      </c>
    </row>
    <row r="23" spans="3:6" ht="165">
      <c r="C23" s="168">
        <v>6.6</v>
      </c>
      <c r="D23" s="169">
        <v>46120</v>
      </c>
      <c r="E23" s="168" t="s">
        <v>271</v>
      </c>
      <c r="F23" s="170" t="s">
        <v>253</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774DE28D06E9143B2DD36E44D2AAC98" ma:contentTypeVersion="19" ma:contentTypeDescription="Create a new document." ma:contentTypeScope="" ma:versionID="8c6d0ba5a468e3aacd82ef5fd9616183">
  <xsd:schema xmlns:xsd="http://www.w3.org/2001/XMLSchema" xmlns:xs="http://www.w3.org/2001/XMLSchema" xmlns:p="http://schemas.microsoft.com/office/2006/metadata/properties" xmlns:ns2="20d0b412-8c09-4bb4-9b17-db96a5e35ea9" xmlns:ns3="6e337908-3fd1-4cfd-a023-abc3cf136605" targetNamespace="http://schemas.microsoft.com/office/2006/metadata/properties" ma:root="true" ma:fieldsID="5d5d7c5ba692222bf9046b6e86b2af79" ns2:_="" ns3:_="">
    <xsd:import namespace="20d0b412-8c09-4bb4-9b17-db96a5e35ea9"/>
    <xsd:import namespace="6e337908-3fd1-4cfd-a023-abc3cf13660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ServiceLocation"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d0b412-8c09-4bb4-9b17-db96a5e35ea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431d13e6-8c98-4804-af45-c401775ee580}" ma:internalName="TaxCatchAll" ma:showField="CatchAllData" ma:web="20d0b412-8c09-4bb4-9b17-db96a5e35ea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e337908-3fd1-4cfd-a023-abc3cf13660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e9cfab8-a05e-46cd-b41a-358afff67da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20d0b412-8c09-4bb4-9b17-db96a5e35ea9">
      <UserInfo>
        <DisplayName/>
        <AccountId xsi:nil="true"/>
        <AccountType/>
      </UserInfo>
    </SharedWithUsers>
    <TaxCatchAll xmlns="20d0b412-8c09-4bb4-9b17-db96a5e35ea9" xsi:nil="true"/>
    <lcf76f155ced4ddcb4097134ff3c332f xmlns="6e337908-3fd1-4cfd-a023-abc3cf13660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6DA3445-2A8D-41C3-A8E4-38085AED8125}">
  <ds:schemaRefs>
    <ds:schemaRef ds:uri="http://schemas.microsoft.com/sharepoint/v3/contenttype/forms"/>
  </ds:schemaRefs>
</ds:datastoreItem>
</file>

<file path=customXml/itemProps2.xml><?xml version="1.0" encoding="utf-8"?>
<ds:datastoreItem xmlns:ds="http://schemas.openxmlformats.org/officeDocument/2006/customXml" ds:itemID="{39AC54A3-B82C-4116-A8DB-1E6B3512FEC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d0b412-8c09-4bb4-9b17-db96a5e35ea9"/>
    <ds:schemaRef ds:uri="6e337908-3fd1-4cfd-a023-abc3cf1366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7A064DE-D52D-4541-B4DF-00A90030BEFD}">
  <ds:schemaRefs>
    <ds:schemaRef ds:uri="6e337908-3fd1-4cfd-a023-abc3cf136605"/>
    <ds:schemaRef ds:uri="http://schemas.openxmlformats.org/package/2006/metadata/core-properties"/>
    <ds:schemaRef ds:uri="http://schemas.microsoft.com/office/infopath/2007/PartnerControls"/>
    <ds:schemaRef ds:uri="http://www.w3.org/XML/1998/namespace"/>
    <ds:schemaRef ds:uri="http://schemas.microsoft.com/office/2006/metadata/properties"/>
    <ds:schemaRef ds:uri="http://purl.org/dc/elements/1.1/"/>
    <ds:schemaRef ds:uri="http://schemas.microsoft.com/office/2006/documentManagement/types"/>
    <ds:schemaRef ds:uri="http://purl.org/dc/dcmitype/"/>
    <ds:schemaRef ds:uri="20d0b412-8c09-4bb4-9b17-db96a5e35ea9"/>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22</vt:i4>
      </vt:variant>
    </vt:vector>
  </HeadingPairs>
  <TitlesOfParts>
    <vt:vector size="29" baseType="lpstr">
      <vt:lpstr>Volume-Based Calculator</vt:lpstr>
      <vt:lpstr>Layout-Based Calculator</vt:lpstr>
      <vt:lpstr>LB Calcs</vt:lpstr>
      <vt:lpstr>Draft</vt:lpstr>
      <vt:lpstr>Tables</vt:lpstr>
      <vt:lpstr>Pics</vt:lpstr>
      <vt:lpstr>Versions</vt:lpstr>
      <vt:lpstr>DET</vt:lpstr>
      <vt:lpstr>DM</vt:lpstr>
      <vt:lpstr>FDMDS</vt:lpstr>
      <vt:lpstr>FDMSS</vt:lpstr>
      <vt:lpstr>'LB Calcs'!Fittings</vt:lpstr>
      <vt:lpstr>FNM</vt:lpstr>
      <vt:lpstr>FSMDS</vt:lpstr>
      <vt:lpstr>FSMSS</vt:lpstr>
      <vt:lpstr>'LB Calcs'!HeaderConfiguration</vt:lpstr>
      <vt:lpstr>ONEMANIFOLD</vt:lpstr>
      <vt:lpstr>'LB Calcs'!Perforated</vt:lpstr>
      <vt:lpstr>'LB Calcs'!PipeSizes</vt:lpstr>
      <vt:lpstr>'Layout-Based Calculator'!Print_Area</vt:lpstr>
      <vt:lpstr>'Volume-Based Calculator'!Print_Area</vt:lpstr>
      <vt:lpstr>'LB Calcs'!Profile</vt:lpstr>
      <vt:lpstr>RET</vt:lpstr>
      <vt:lpstr>SM</vt:lpstr>
      <vt:lpstr>'LB Calcs'!State</vt:lpstr>
      <vt:lpstr>'LB Calcs'!System</vt:lpstr>
      <vt:lpstr>textbox48</vt:lpstr>
      <vt:lpstr>TWOMANIFOLDS</vt:lpstr>
      <vt:lpstr>'LB Calcs'!YesNo</vt:lpstr>
    </vt:vector>
  </TitlesOfParts>
  <Company>Duininck Companies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Brett Hultgren</dc:creator>
  <cp:lastModifiedBy>Amelie Dulas</cp:lastModifiedBy>
  <cp:lastPrinted>2023-07-11T20:43:52Z</cp:lastPrinted>
  <dcterms:created xsi:type="dcterms:W3CDTF">2015-06-23T13:28:24Z</dcterms:created>
  <dcterms:modified xsi:type="dcterms:W3CDTF">2026-08-10T15:40:16Z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0x010100C774DE28D06E9143B2DD36E44D2AAC98</vt:lpwstr>
  </property>
  <property fmtid="{D5CDD505-2E9C-101B-9397-08002B2CF9AE}" pid="3" name="AuthorIds_UIVersion_4096">
    <vt:lpwstr>735</vt:lpwstr>
  </property>
  <property fmtid="{D5CDD505-2E9C-101B-9397-08002B2CF9AE}" pid="4" name="AuthorIds_UIVersion_2560">
    <vt:lpwstr>92</vt:lpwstr>
  </property>
  <property fmtid="{D5CDD505-2E9C-101B-9397-08002B2CF9AE}" pid="5" name="xd_Signature">
    <vt:bool>false</vt:bool>
  </property>
  <property fmtid="{D5CDD505-2E9C-101B-9397-08002B2CF9AE}" pid="6" name="AuthorIds_UIVersion_3584">
    <vt:lpwstr>735</vt:lpwstr>
  </property>
  <property fmtid="{D5CDD505-2E9C-101B-9397-08002B2CF9AE}" pid="7" name="xd_ProgID">
    <vt:lpwstr/>
  </property>
  <property fmtid="{D5CDD505-2E9C-101B-9397-08002B2CF9AE}" pid="8" name="ComplianceAssetId">
    <vt:lpwstr/>
  </property>
  <property fmtid="{D5CDD505-2E9C-101B-9397-08002B2CF9AE}" pid="9" name="TemplateUrl">
    <vt:lpwstr/>
  </property>
  <property fmtid="{D5CDD505-2E9C-101B-9397-08002B2CF9AE}" pid="10" name="MediaServiceImageTags">
    <vt:lpwstr/>
  </property>
</Properties>
</file>